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8490" windowHeight="4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<sst xmlns="http://schemas.openxmlformats.org/spreadsheetml/2006/main" count="2110" uniqueCount="145">
  <si>
    <t>Year-Period</t>
  </si>
  <si>
    <t>End Date</t>
  </si>
  <si>
    <t>General Ledger Account</t>
  </si>
  <si>
    <t>General Ledger Account Description</t>
  </si>
  <si>
    <t>Actual</t>
  </si>
  <si>
    <t>Budget</t>
  </si>
  <si>
    <t>Variance</t>
  </si>
  <si>
    <t>% Variance</t>
  </si>
  <si>
    <t xml:space="preserve"> New Budget </t>
  </si>
  <si>
    <t>Actuals vs. Budget for Sample Company Limited, Fiscal Year 2020</t>
  </si>
  <si>
    <t>2020-1</t>
  </si>
  <si>
    <t xml:space="preserve">4000                                         </t>
  </si>
  <si>
    <t xml:space="preserve">Sales                                                       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</si>
  <si>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</si>
  <si>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</si>
  <si>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</si>
  <si>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</si>
  <si>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</si>
  <si>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</si>
  <si>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</si>
  <si>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</si>
  <si>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</si>
  <si>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</si>
  <si>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</si>
  <si>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 xml:space="preserve">4000-100                                     </t>
  </si>
  <si>
    <t xml:space="preserve">4000100                                      </t>
  </si>
  <si>
    <t xml:space="preserve">4000-200                                     </t>
  </si>
  <si>
    <t xml:space="preserve">4000200                                      </t>
  </si>
  <si>
    <t xml:space="preserve">4010-100-10                                  </t>
  </si>
  <si>
    <t xml:space="preserve">401010010                                    </t>
  </si>
  <si>
    <t xml:space="preserve">Sales, accessories                                          </t>
  </si>
  <si>
    <t xml:space="preserve">4010-100-20                                  </t>
  </si>
  <si>
    <t xml:space="preserve">401010020                                    </t>
  </si>
  <si>
    <t xml:space="preserve">4010-100-30                                  </t>
  </si>
  <si>
    <t xml:space="preserve">401010030                                    </t>
  </si>
  <si>
    <t xml:space="preserve">4010-100-40                                  </t>
  </si>
  <si>
    <t xml:space="preserve">401010040                                    </t>
  </si>
  <si>
    <t xml:space="preserve">4010-200-10                                  </t>
  </si>
  <si>
    <t xml:space="preserve">401020010                                    </t>
  </si>
  <si>
    <t xml:space="preserve">4010-200-20                                  </t>
  </si>
  <si>
    <t xml:space="preserve">401020020                                    </t>
  </si>
  <si>
    <t xml:space="preserve">4010-200-30                                  </t>
  </si>
  <si>
    <t xml:space="preserve">401020030                                    </t>
  </si>
  <si>
    <t xml:space="preserve">4010-200-40                                  </t>
  </si>
  <si>
    <t xml:space="preserve">401020040                                    </t>
  </si>
  <si>
    <t xml:space="preserve">4020                                         </t>
  </si>
  <si>
    <t xml:space="preserve">Sales, chairs                                               </t>
  </si>
  <si>
    <t xml:space="preserve">4030                                         </t>
  </si>
  <si>
    <t xml:space="preserve">Sales, desks                                                </t>
  </si>
  <si>
    <t xml:space="preserve">4040                                         </t>
  </si>
  <si>
    <t xml:space="preserve">Sales, cabinets                                             </t>
  </si>
  <si>
    <t xml:space="preserve">4050                                         </t>
  </si>
  <si>
    <t xml:space="preserve">Sales, dividers                                             </t>
  </si>
  <si>
    <t xml:space="preserve">4060                                         </t>
  </si>
  <si>
    <t xml:space="preserve">Sales, samples                                              </t>
  </si>
  <si>
    <t xml:space="preserve">6000                                         </t>
  </si>
  <si>
    <t xml:space="preserve">Accounting and legal fees                                   </t>
  </si>
  <si>
    <t xml:space="preserve">6020                                         </t>
  </si>
  <si>
    <t xml:space="preserve">Advertising                                                 </t>
  </si>
  <si>
    <t xml:space="preserve">6080                                         </t>
  </si>
  <si>
    <t xml:space="preserve">Automotive                                                  </t>
  </si>
  <si>
    <t xml:space="preserve">6080-100                                     </t>
  </si>
  <si>
    <t xml:space="preserve">6080100                                      </t>
  </si>
  <si>
    <t xml:space="preserve">6080-200                                     </t>
  </si>
  <si>
    <t xml:space="preserve">6080200                                      </t>
  </si>
  <si>
    <t xml:space="preserve">6120                                         </t>
  </si>
  <si>
    <t xml:space="preserve">Commissions                                                 </t>
  </si>
  <si>
    <t xml:space="preserve">6120-100                                     </t>
  </si>
  <si>
    <t xml:space="preserve">6120100                                      </t>
  </si>
  <si>
    <t xml:space="preserve">6120-200                                     </t>
  </si>
  <si>
    <t xml:space="preserve">6120200                                      </t>
  </si>
  <si>
    <t xml:space="preserve">6140                                         </t>
  </si>
  <si>
    <t xml:space="preserve">Delivery and distribution                                   </t>
  </si>
  <si>
    <t xml:space="preserve">6180                                         </t>
  </si>
  <si>
    <t xml:space="preserve">Donations                                                   </t>
  </si>
  <si>
    <t xml:space="preserve">6200-100                                     </t>
  </si>
  <si>
    <t xml:space="preserve">6200100                                      </t>
  </si>
  <si>
    <t xml:space="preserve">Dues and subscriptions                                      </t>
  </si>
  <si>
    <t xml:space="preserve">6200-200                                     </t>
  </si>
  <si>
    <t xml:space="preserve">6200200                                      </t>
  </si>
  <si>
    <t xml:space="preserve">6220                                         </t>
  </si>
  <si>
    <t xml:space="preserve">Employee benefit plan                                       </t>
  </si>
  <si>
    <t xml:space="preserve">6240-100                                     </t>
  </si>
  <si>
    <t xml:space="preserve">6240100                                      </t>
  </si>
  <si>
    <t xml:space="preserve">Employee benefits, direct                                   </t>
  </si>
  <si>
    <t xml:space="preserve">6240-200                                     </t>
  </si>
  <si>
    <t xml:space="preserve">6240200                                      </t>
  </si>
  <si>
    <t xml:space="preserve">6260                                         </t>
  </si>
  <si>
    <t xml:space="preserve">Equipment lease or rent                                     </t>
  </si>
  <si>
    <t xml:space="preserve">6280                                         </t>
  </si>
  <si>
    <t xml:space="preserve">Insurance                                                   </t>
  </si>
  <si>
    <t xml:space="preserve">6360                                         </t>
  </si>
  <si>
    <t xml:space="preserve">Licenses and permits                                        </t>
  </si>
  <si>
    <t xml:space="preserve">6380-100                                     </t>
  </si>
  <si>
    <t xml:space="preserve">6380100                                      </t>
  </si>
  <si>
    <t xml:space="preserve">Miscellaneous                                               </t>
  </si>
  <si>
    <t xml:space="preserve">6380-200                                     </t>
  </si>
  <si>
    <t xml:space="preserve">6380200                                      </t>
  </si>
  <si>
    <t xml:space="preserve">6400                                         </t>
  </si>
  <si>
    <t xml:space="preserve">Moving                                                      </t>
  </si>
  <si>
    <t xml:space="preserve">6500-100                                     </t>
  </si>
  <si>
    <t xml:space="preserve">6500100                                      </t>
  </si>
  <si>
    <t xml:space="preserve">Office supplies                                             </t>
  </si>
  <si>
    <t xml:space="preserve">6500-200                                     </t>
  </si>
  <si>
    <t xml:space="preserve">6500200                                      </t>
  </si>
  <si>
    <t xml:space="preserve">6520                                         </t>
  </si>
  <si>
    <t xml:space="preserve">Postage                                                     </t>
  </si>
  <si>
    <t xml:space="preserve">6540                                         </t>
  </si>
  <si>
    <t xml:space="preserve">Promotion and entertainment                                 </t>
  </si>
  <si>
    <t xml:space="preserve">6560                                         </t>
  </si>
  <si>
    <t xml:space="preserve">Rent, office                                                </t>
  </si>
  <si>
    <t xml:space="preserve">6580                                         </t>
  </si>
  <si>
    <t xml:space="preserve">Repairs and maintenance                                     </t>
  </si>
  <si>
    <t xml:space="preserve">6600                                         </t>
  </si>
  <si>
    <t xml:space="preserve">Shipping supplies                                           </t>
  </si>
  <si>
    <t xml:space="preserve">6620                                         </t>
  </si>
  <si>
    <t xml:space="preserve">Shop supplies                                               </t>
  </si>
  <si>
    <t xml:space="preserve">6640                                         </t>
  </si>
  <si>
    <t xml:space="preserve">Subcontract costs                                           </t>
  </si>
  <si>
    <t xml:space="preserve">6660                                         </t>
  </si>
  <si>
    <t xml:space="preserve">Traveling expenses                                          </t>
  </si>
  <si>
    <t xml:space="preserve">6680                                         </t>
  </si>
  <si>
    <t xml:space="preserve">Telephone, telex, fax                                       </t>
  </si>
  <si>
    <t xml:space="preserve">6680-100                                     </t>
  </si>
  <si>
    <t xml:space="preserve">6680100                                      </t>
  </si>
  <si>
    <t xml:space="preserve">6680-200                                     </t>
  </si>
  <si>
    <t xml:space="preserve">6680200                                      </t>
  </si>
  <si>
    <t xml:space="preserve">6700                                         </t>
  </si>
  <si>
    <t xml:space="preserve">Utilities                                                   </t>
  </si>
  <si>
    <t xml:space="preserve">6700-100                                     </t>
  </si>
  <si>
    <t xml:space="preserve">6700100                                      </t>
  </si>
  <si>
    <t xml:space="preserve">6700-200                                     </t>
  </si>
  <si>
    <t xml:space="preserve">6700200                                      </t>
  </si>
  <si>
    <t xml:space="preserve">6720-100                                     </t>
  </si>
  <si>
    <t xml:space="preserve">6720100                                      </t>
  </si>
  <si>
    <t xml:space="preserve">Wages &amp; benefits, direct                                    </t>
  </si>
  <si>
    <t xml:space="preserve">6720-200                                     </t>
  </si>
  <si>
    <t xml:space="preserve">6720200                                      </t>
  </si>
  <si>
    <t xml:space="preserve">6740-100                                     </t>
  </si>
  <si>
    <t xml:space="preserve">6740100                                      </t>
  </si>
  <si>
    <t xml:space="preserve">Wages &amp; benefits, indirect                                  </t>
  </si>
  <si>
    <t xml:space="preserve">6740-200                                     </t>
  </si>
  <si>
    <t xml:space="preserve">6740200                                      </t>
  </si>
  <si>
    <t xml:space="preserve">6760                                         </t>
  </si>
  <si>
    <t xml:space="preserve">Wages casual, direct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</si>
</sst>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#,##0.00000"/>
    <numFmt numFmtId="174" formatCode="mmmm\ d\,\ yyyy"/>
    <numFmt numFmtId="175" formatCode="mm/dd/yy"/>
    <numFmt numFmtId="176" formatCode="#,##0."/>
    <numFmt numFmtId="177" formatCode="m/d/yy"/>
  </numFmts>
  <fonts count="39">
    <font>
      <sz val="10"/>
      <name val="Arial"/>
      <family val="0"/>
    </font>
    <font>
      <sz val="18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horizontal="right"/>
    </xf>
    <xf numFmtId="172" fontId="21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</xdr:row>
      <xdr:rowOff>85725</xdr:rowOff>
    </xdr:from>
    <xdr:to>
      <xdr:col>2</xdr:col>
      <xdr:colOff>1304925</xdr:colOff>
      <xdr:row>1</xdr:row>
      <xdr:rowOff>457200</xdr:rowOff>
    </xdr:to>
    <xdr:sp>
      <xdr:nvSpPr>
        <xdr:cNvPr id="1" name="Rectangle 1"/>
        <xdr:cNvSpPr>
          <a:spLocks/>
        </xdr:cNvSpPr>
      </xdr:nvSpPr>
      <xdr:spPr>
        <a:xfrm>
          <a:off x="85725" y="381000"/>
          <a:ext cx="2609850" cy="371475"/>
        </a:xfrm>
        <a:prstGeom prst="rect">
          <a:avLst/>
        </a:prstGeom>
        <a:solidFill>
          <a:srgbClr val="DDCC77"/>
        </a:solidFill>
        <a:ln w="25400" cmpd="sng">
          <a:solidFill>
            <a:srgbClr val="33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11.7109375" style="0" bestFit="1" customWidth="1"/>
    <col min="2" max="2" width="9.140625" style="10" customWidth="1"/>
    <col min="3" max="3" width="31.28125" style="0" bestFit="1" customWidth="1"/>
    <col min="4" max="4" width="44.8515625" style="0" bestFit="1" customWidth="1"/>
    <col min="5" max="5" width="10.140625" style="8" bestFit="1" customWidth="1"/>
    <col min="6" max="6" width="10.7109375" style="8" bestFit="1" customWidth="1"/>
    <col min="7" max="7" width="11.7109375" style="4" bestFit="1" customWidth="1"/>
    <col min="8" max="8" width="11.140625" style="6" bestFit="1" customWidth="1"/>
    <col min="9" max="9" width="13.28125" style="0" bestFit="1" customWidth="1"/>
    <col min="10" max="10" width="5.00390625" style="0" hidden="1" customWidth="1"/>
    <col min="11" max="11" width="0" style="0" hidden="1" customWidth="1"/>
  </cols>
  <sheetData>
    <row r="1" ht="23.25">
      <c r="A1" s="1" t="s">
        <v>9</v>
      </c>
    </row>
    <row r="2" ht="42" customHeight="1"/>
    <row r="3" spans="1:9" ht="12.75">
      <c r="A3" s="2" t="s">
        <v>0</v>
      </c>
      <c r="B3" s="11" t="s">
        <v>1</v>
      </c>
      <c r="C3" s="2" t="s">
        <v>2</v>
      </c>
      <c r="D3" s="2" t="s">
        <v>3</v>
      </c>
      <c r="E3" s="9" t="s">
        <v>4</v>
      </c>
      <c r="F3" s="9" t="s">
        <v>5</v>
      </c>
      <c r="G3" s="5" t="s">
        <v>6</v>
      </c>
      <c r="H3" s="7" t="s">
        <v>7</v>
      </c>
      <c r="I3" s="3" t="s">
        <v>8</v>
      </c>
    </row>
    <row r="4" spans="1:11" ht="12.75">
      <c r="A4" t="s">
        <v>10</v>
      </c>
      <c r="B4" s="10">
        <v>43861</v>
      </c>
      <c r="C4" t="s">
        <v>11</v>
      </c>
      <c r="D4" t="s">
        <v>12</v>
      </c>
      <c r="E4" s="8">
        <f>-1*-280014.85</f>
        <v>280014.85</v>
      </c>
      <c r="F4" s="8">
        <v>-300999</v>
      </c>
      <c r="G4" s="14">
        <f>E4-F4</f>
        <v>581013.85</v>
      </c>
      <c r="H4" s="13">
        <f>IF(F4&lt;&gt;0,G4/F4*100,0)</f>
        <v>-193.0284984335496</v>
      </c>
      <c r="I4">
        <v>-300999</v>
      </c>
      <c r="J4">
        <v>1</v>
      </c>
      <c r="K4" t="s">
        <v>11</v>
      </c>
    </row>
    <row r="5" spans="3:11" ht="12.75">
      <c r="C5" t="s">
        <v>24</v>
      </c>
      <c r="D5" t="s">
        <v>12</v>
      </c>
      <c r="E5" s="8">
        <f>-1*-367216.3</f>
        <v>367216.3</v>
      </c>
      <c r="F5" s="8">
        <v>-400000</v>
      </c>
      <c r="G5" s="14">
        <f>E5-F5</f>
        <v>767216.3</v>
      </c>
      <c r="H5" s="13">
        <f>IF(F5&lt;&gt;0,G5/F5*100,0)</f>
        <v>-191.804075</v>
      </c>
      <c r="I5">
        <v>-400000</v>
      </c>
      <c r="J5">
        <v>1</v>
      </c>
      <c r="K5" t="s">
        <v>25</v>
      </c>
    </row>
    <row r="6" spans="3:11" ht="12.75">
      <c r="C6" t="s">
        <v>26</v>
      </c>
      <c r="D6" t="s">
        <v>12</v>
      </c>
      <c r="E6" s="8">
        <f>-1*-180765.12</f>
        <v>180765.12</v>
      </c>
      <c r="F6" s="8">
        <f>-1*-186000</f>
        <v>186000</v>
      </c>
      <c r="G6" s="12">
        <f>E6-F6</f>
        <v>-5234.880000000005</v>
      </c>
      <c r="H6" s="13">
        <f>IF(F6&lt;&gt;0,G6/F6*100,0)</f>
        <v>-2.814451612903228</v>
      </c>
      <c r="J6">
        <v>1</v>
      </c>
      <c r="K6" t="s">
        <v>27</v>
      </c>
    </row>
    <row r="7" spans="3:11" ht="12.75">
      <c r="C7" t="s">
        <v>28</v>
      </c>
      <c r="D7" t="s">
        <v>30</v>
      </c>
      <c r="E7" s="8">
        <f>-1*-4576.55</f>
        <v>4576.55</v>
      </c>
      <c r="F7" s="8">
        <f>-1*-5000</f>
        <v>5000</v>
      </c>
      <c r="G7" s="12">
        <f>E7-F7</f>
        <v>-423.4499999999998</v>
      </c>
      <c r="H7" s="13">
        <f>IF(F7&lt;&gt;0,G7/F7*100,0)</f>
        <v>-8.468999999999996</v>
      </c>
      <c r="J7">
        <v>1</v>
      </c>
      <c r="K7" t="s">
        <v>29</v>
      </c>
    </row>
    <row r="8" spans="3:11" ht="12.75">
      <c r="C8" t="s">
        <v>31</v>
      </c>
      <c r="D8" t="s">
        <v>30</v>
      </c>
      <c r="E8" s="8">
        <f>-1*-6714.44</f>
        <v>6714.44</v>
      </c>
      <c r="F8" s="8">
        <f>-1*-7000</f>
        <v>7000</v>
      </c>
      <c r="G8" s="12">
        <f>E8-F8</f>
        <v>-285.5600000000004</v>
      </c>
      <c r="H8" s="13">
        <f>IF(F8&lt;&gt;0,G8/F8*100,0)</f>
        <v>-4.0794285714285765</v>
      </c>
      <c r="J8">
        <v>1</v>
      </c>
      <c r="K8" t="s">
        <v>32</v>
      </c>
    </row>
    <row r="9" spans="3:11" ht="12.75">
      <c r="C9" t="s">
        <v>33</v>
      </c>
      <c r="D9" t="s">
        <v>30</v>
      </c>
      <c r="E9" s="8">
        <f>-1*-1601.56</f>
        <v>1601.56</v>
      </c>
      <c r="F9" s="8">
        <f>-1*-2000</f>
        <v>2000</v>
      </c>
      <c r="G9" s="12">
        <f>E9-F9</f>
        <v>-398.44000000000005</v>
      </c>
      <c r="H9" s="13">
        <f>IF(F9&lt;&gt;0,G9/F9*100,0)</f>
        <v>-19.922000000000004</v>
      </c>
      <c r="J9">
        <v>1</v>
      </c>
      <c r="K9" t="s">
        <v>34</v>
      </c>
    </row>
    <row r="10" spans="3:11" ht="12.75">
      <c r="C10" t="s">
        <v>35</v>
      </c>
      <c r="D10" t="s">
        <v>30</v>
      </c>
      <c r="E10" s="8">
        <f>-1*-12163.6</f>
        <v>12163.6</v>
      </c>
      <c r="F10" s="8">
        <f>-1*-2000</f>
        <v>2000</v>
      </c>
      <c r="G10" s="14">
        <f>E10-F10</f>
        <v>10163.6</v>
      </c>
      <c r="H10" s="15">
        <f>IF(F10&lt;&gt;0,G10/F10*100,0)</f>
        <v>508.18</v>
      </c>
      <c r="J10">
        <v>1</v>
      </c>
      <c r="K10" t="s">
        <v>36</v>
      </c>
    </row>
    <row r="11" spans="3:11" ht="12.75">
      <c r="C11" t="s">
        <v>37</v>
      </c>
      <c r="D11" t="s">
        <v>30</v>
      </c>
      <c r="E11" s="8">
        <f>-1*-4945.78</f>
        <v>4945.78</v>
      </c>
      <c r="F11" s="8">
        <f>-1*-6000</f>
        <v>6000</v>
      </c>
      <c r="G11" s="12">
        <f>E11-F11</f>
        <v>-1054.2200000000003</v>
      </c>
      <c r="H11" s="13">
        <f>IF(F11&lt;&gt;0,G11/F11*100,0)</f>
        <v>-17.570333333333338</v>
      </c>
      <c r="J11">
        <v>1</v>
      </c>
      <c r="K11" t="s">
        <v>38</v>
      </c>
    </row>
    <row r="12" spans="3:11" ht="12.75">
      <c r="C12" t="s">
        <v>39</v>
      </c>
      <c r="D12" t="s">
        <v>30</v>
      </c>
      <c r="E12" s="8">
        <f>-1*-5335.13</f>
        <v>5335.13</v>
      </c>
      <c r="F12" s="8">
        <f>-1*-6000</f>
        <v>6000</v>
      </c>
      <c r="G12" s="12">
        <f>E12-F12</f>
        <v>-664.8699999999999</v>
      </c>
      <c r="H12" s="13">
        <f>IF(F12&lt;&gt;0,G12/F12*100,0)</f>
        <v>-11.081166666666665</v>
      </c>
      <c r="J12">
        <v>1</v>
      </c>
      <c r="K12" t="s">
        <v>40</v>
      </c>
    </row>
    <row r="13" spans="3:11" ht="12.75">
      <c r="C13" t="s">
        <v>41</v>
      </c>
      <c r="D13" t="s">
        <v>30</v>
      </c>
      <c r="E13" s="8">
        <f>-1*-3153.26</f>
        <v>3153.26</v>
      </c>
      <c r="F13" s="8">
        <f>-1*-3000</f>
        <v>3000</v>
      </c>
      <c r="G13" s="14">
        <f>E13-F13</f>
        <v>153.26000000000022</v>
      </c>
      <c r="H13" s="15">
        <f>IF(F13&lt;&gt;0,G13/F13*100,0)</f>
        <v>5.108666666666674</v>
      </c>
      <c r="J13">
        <v>1</v>
      </c>
      <c r="K13" t="s">
        <v>42</v>
      </c>
    </row>
    <row r="14" spans="3:11" ht="12.75">
      <c r="C14" t="s">
        <v>43</v>
      </c>
      <c r="D14" t="s">
        <v>30</v>
      </c>
      <c r="E14" s="8">
        <f>-1*-2664.29</f>
        <v>2664.29</v>
      </c>
      <c r="F14" s="8">
        <f>-1*-3000</f>
        <v>3000</v>
      </c>
      <c r="G14" s="12">
        <f>E14-F14</f>
        <v>-335.71000000000004</v>
      </c>
      <c r="H14" s="13">
        <f>IF(F14&lt;&gt;0,G14/F14*100,0)</f>
        <v>-11.190333333333333</v>
      </c>
      <c r="J14">
        <v>1</v>
      </c>
      <c r="K14" t="s">
        <v>44</v>
      </c>
    </row>
    <row r="15" spans="3:11" ht="12.75">
      <c r="C15" t="s">
        <v>45</v>
      </c>
      <c r="D15" t="s">
        <v>46</v>
      </c>
      <c r="E15" s="8">
        <f>-1*-67036.04</f>
        <v>67036.04</v>
      </c>
      <c r="F15" s="8">
        <f>-1*-16000</f>
        <v>16000</v>
      </c>
      <c r="G15" s="14">
        <f>E15-F15</f>
        <v>51036.03999999999</v>
      </c>
      <c r="H15" s="15">
        <f>IF(F15&lt;&gt;0,G15/F15*100,0)</f>
        <v>318.97524999999996</v>
      </c>
      <c r="J15">
        <v>1</v>
      </c>
      <c r="K15" t="s">
        <v>45</v>
      </c>
    </row>
    <row r="16" spans="3:11" ht="12.75">
      <c r="C16" t="s">
        <v>47</v>
      </c>
      <c r="D16" t="s">
        <v>48</v>
      </c>
      <c r="E16" s="8">
        <f>-1*-216495.85</f>
        <v>216495.85</v>
      </c>
      <c r="F16" s="8">
        <f>-1*-47000</f>
        <v>47000</v>
      </c>
      <c r="G16" s="14">
        <f>E16-F16</f>
        <v>169495.85</v>
      </c>
      <c r="H16" s="15">
        <f>IF(F16&lt;&gt;0,G16/F16*100,0)</f>
        <v>360.6294680851064</v>
      </c>
      <c r="J16">
        <v>1</v>
      </c>
      <c r="K16" t="s">
        <v>47</v>
      </c>
    </row>
    <row r="17" spans="3:11" ht="12.75">
      <c r="C17" t="s">
        <v>49</v>
      </c>
      <c r="D17" t="s">
        <v>50</v>
      </c>
      <c r="E17" s="8">
        <f>-1*-170110.01</f>
        <v>170110.01</v>
      </c>
      <c r="F17" s="8">
        <f>-1*-28000</f>
        <v>28000</v>
      </c>
      <c r="G17" s="14">
        <f>E17-F17</f>
        <v>142110.01</v>
      </c>
      <c r="H17" s="15">
        <f>IF(F17&lt;&gt;0,G17/F17*100,0)</f>
        <v>507.53575</v>
      </c>
      <c r="J17">
        <v>1</v>
      </c>
      <c r="K17" t="s">
        <v>49</v>
      </c>
    </row>
    <row r="18" spans="3:11" ht="12.75">
      <c r="C18" t="s">
        <v>51</v>
      </c>
      <c r="D18" t="s">
        <v>52</v>
      </c>
      <c r="E18" s="8">
        <f>-1*-293604.97</f>
        <v>293604.97</v>
      </c>
      <c r="F18" s="8">
        <f>-1*-60000</f>
        <v>60000</v>
      </c>
      <c r="G18" s="14">
        <f>E18-F18</f>
        <v>233604.96999999997</v>
      </c>
      <c r="H18" s="15">
        <f>IF(F18&lt;&gt;0,G18/F18*100,0)</f>
        <v>389.3416166666666</v>
      </c>
      <c r="J18">
        <v>1</v>
      </c>
      <c r="K18" t="s">
        <v>51</v>
      </c>
    </row>
    <row r="19" spans="3:11" ht="12.75">
      <c r="C19" t="s">
        <v>53</v>
      </c>
      <c r="D19" t="s">
        <v>54</v>
      </c>
      <c r="E19" s="8">
        <f>-1*-54701.35</f>
        <v>54701.35</v>
      </c>
      <c r="F19" s="8">
        <f>-1*-16000</f>
        <v>16000</v>
      </c>
      <c r="G19" s="14">
        <f>E19-F19</f>
        <v>38701.35</v>
      </c>
      <c r="H19" s="15">
        <f>IF(F19&lt;&gt;0,G19/F19*100,0)</f>
        <v>241.88343749999999</v>
      </c>
      <c r="J19">
        <v>1</v>
      </c>
      <c r="K19" t="s">
        <v>53</v>
      </c>
    </row>
    <row r="20" spans="3:11" ht="12.75">
      <c r="C20" t="s">
        <v>55</v>
      </c>
      <c r="D20" t="s">
        <v>56</v>
      </c>
      <c r="E20" s="8">
        <f>1*4902.05</f>
        <v>4902.05</v>
      </c>
      <c r="F20" s="8">
        <f>1*10000</f>
        <v>10000</v>
      </c>
      <c r="G20" s="12">
        <f>E20-F20</f>
        <v>-5097.95</v>
      </c>
      <c r="H20" s="13">
        <f>IF(F20&lt;&gt;0,G20/F20*100,0)</f>
        <v>-50.9795</v>
      </c>
      <c r="J20">
        <v>1</v>
      </c>
      <c r="K20" t="s">
        <v>55</v>
      </c>
    </row>
    <row r="21" spans="3:11" ht="12.75">
      <c r="C21" t="s">
        <v>57</v>
      </c>
      <c r="D21" t="s">
        <v>58</v>
      </c>
      <c r="E21" s="8">
        <f>1*60362.19</f>
        <v>60362.19</v>
      </c>
      <c r="F21" s="8">
        <f>1*67000</f>
        <v>67000</v>
      </c>
      <c r="G21" s="12">
        <f>E21-F21</f>
        <v>-6637.809999999998</v>
      </c>
      <c r="H21" s="13">
        <f>IF(F21&lt;&gt;0,G21/F21*100,0)</f>
        <v>-9.907179104477608</v>
      </c>
      <c r="J21">
        <v>1</v>
      </c>
      <c r="K21" t="s">
        <v>57</v>
      </c>
    </row>
    <row r="22" spans="3:11" ht="12.75">
      <c r="C22" t="s">
        <v>59</v>
      </c>
      <c r="D22" t="s">
        <v>60</v>
      </c>
      <c r="E22" s="8">
        <f>1*14760.43</f>
        <v>14760.43</v>
      </c>
      <c r="F22" s="8">
        <f>1*15000</f>
        <v>15000</v>
      </c>
      <c r="G22" s="12">
        <f>E22-F22</f>
        <v>-239.5699999999997</v>
      </c>
      <c r="H22" s="13">
        <f>IF(F22&lt;&gt;0,G22/F22*100,0)</f>
        <v>-1.5971333333333313</v>
      </c>
      <c r="J22">
        <v>1</v>
      </c>
      <c r="K22" t="s">
        <v>59</v>
      </c>
    </row>
    <row r="23" spans="3:11" ht="12.75">
      <c r="C23" t="s">
        <v>61</v>
      </c>
      <c r="D23" t="s">
        <v>60</v>
      </c>
      <c r="E23" s="8">
        <f>1*9353.78</f>
        <v>9353.78</v>
      </c>
      <c r="F23" s="8">
        <f>1*8000</f>
        <v>8000</v>
      </c>
      <c r="G23" s="14">
        <f>E23-F23</f>
        <v>1353.7800000000007</v>
      </c>
      <c r="H23" s="15">
        <f>IF(F23&lt;&gt;0,G23/F23*100,0)</f>
        <v>16.92225000000001</v>
      </c>
      <c r="J23">
        <v>1</v>
      </c>
      <c r="K23" t="s">
        <v>62</v>
      </c>
    </row>
    <row r="24" spans="3:11" ht="12.75">
      <c r="C24" t="s">
        <v>63</v>
      </c>
      <c r="D24" t="s">
        <v>60</v>
      </c>
      <c r="E24" s="8">
        <f>1*8478.63</f>
        <v>8478.63</v>
      </c>
      <c r="F24" s="8">
        <f>1*12000</f>
        <v>12000</v>
      </c>
      <c r="G24" s="12">
        <f>E24-F24</f>
        <v>-3521.370000000001</v>
      </c>
      <c r="H24" s="13">
        <f>IF(F24&lt;&gt;0,G24/F24*100,0)</f>
        <v>-29.34475000000001</v>
      </c>
      <c r="J24">
        <v>1</v>
      </c>
      <c r="K24" t="s">
        <v>64</v>
      </c>
    </row>
    <row r="25" spans="3:11" ht="12.75">
      <c r="C25" t="s">
        <v>65</v>
      </c>
      <c r="D25" t="s">
        <v>66</v>
      </c>
      <c r="E25" s="8">
        <f>1*20800.44</f>
        <v>20800.44</v>
      </c>
      <c r="F25" s="8">
        <f>1*50000</f>
        <v>50000</v>
      </c>
      <c r="G25" s="12">
        <f>E25-F25</f>
        <v>-29199.56</v>
      </c>
      <c r="H25" s="13">
        <f>IF(F25&lt;&gt;0,G25/F25*100,0)</f>
        <v>-58.39912</v>
      </c>
      <c r="J25">
        <v>1</v>
      </c>
      <c r="K25" t="s">
        <v>65</v>
      </c>
    </row>
    <row r="26" spans="3:11" ht="12.75">
      <c r="C26" t="s">
        <v>67</v>
      </c>
      <c r="D26" t="s">
        <v>66</v>
      </c>
      <c r="E26" s="8">
        <f>1*0</f>
        <v>0</v>
      </c>
      <c r="F26" s="8">
        <f>1*26000</f>
        <v>26000</v>
      </c>
      <c r="G26" s="12">
        <f>E26-F26</f>
        <v>-26000</v>
      </c>
      <c r="H26" s="13">
        <f>IF(F26&lt;&gt;0,G26/F26*100,0)</f>
        <v>-100</v>
      </c>
      <c r="J26">
        <v>1</v>
      </c>
      <c r="K26" t="s">
        <v>68</v>
      </c>
    </row>
    <row r="27" spans="3:11" ht="12.75">
      <c r="C27" t="s">
        <v>69</v>
      </c>
      <c r="D27" t="s">
        <v>66</v>
      </c>
      <c r="E27" s="8">
        <f>1*34280.63</f>
        <v>34280.63</v>
      </c>
      <c r="F27" s="8">
        <f>1*14000</f>
        <v>14000</v>
      </c>
      <c r="G27" s="14">
        <f>E27-F27</f>
        <v>20280.629999999997</v>
      </c>
      <c r="H27" s="15">
        <f>IF(F27&lt;&gt;0,G27/F27*100,0)</f>
        <v>144.86164285714284</v>
      </c>
      <c r="J27">
        <v>1</v>
      </c>
      <c r="K27" t="s">
        <v>70</v>
      </c>
    </row>
    <row r="28" spans="3:11" ht="12.75">
      <c r="C28" t="s">
        <v>71</v>
      </c>
      <c r="D28" t="s">
        <v>72</v>
      </c>
      <c r="E28" s="8">
        <f>1*26332.71</f>
        <v>26332.71</v>
      </c>
      <c r="F28" s="8">
        <f>1*13000</f>
        <v>13000</v>
      </c>
      <c r="G28" s="14">
        <f>E28-F28</f>
        <v>13332.71</v>
      </c>
      <c r="H28" s="15">
        <f>IF(F28&lt;&gt;0,G28/F28*100,0)</f>
        <v>102.55930769230768</v>
      </c>
      <c r="J28">
        <v>1</v>
      </c>
      <c r="K28" t="s">
        <v>71</v>
      </c>
    </row>
    <row r="29" spans="3:11" ht="12.75">
      <c r="C29" t="s">
        <v>73</v>
      </c>
      <c r="D29" t="s">
        <v>74</v>
      </c>
      <c r="E29" s="8">
        <f>1*6113.59</f>
        <v>6113.59</v>
      </c>
      <c r="F29" s="8">
        <f>1*3000</f>
        <v>3000</v>
      </c>
      <c r="G29" s="14">
        <f>E29-F29</f>
        <v>3113.59</v>
      </c>
      <c r="H29" s="15">
        <f>IF(F29&lt;&gt;0,G29/F29*100,0)</f>
        <v>103.78633333333333</v>
      </c>
      <c r="J29">
        <v>1</v>
      </c>
      <c r="K29" t="s">
        <v>73</v>
      </c>
    </row>
    <row r="30" spans="3:11" ht="12.75">
      <c r="C30" t="s">
        <v>75</v>
      </c>
      <c r="D30" t="s">
        <v>77</v>
      </c>
      <c r="E30" s="8">
        <f>1*4561.56</f>
        <v>4561.56</v>
      </c>
      <c r="F30" s="8">
        <f>1*12000</f>
        <v>12000</v>
      </c>
      <c r="G30" s="12">
        <f>E30-F30</f>
        <v>-7438.44</v>
      </c>
      <c r="H30" s="13">
        <f>IF(F30&lt;&gt;0,G30/F30*100,0)</f>
        <v>-61.986999999999995</v>
      </c>
      <c r="J30">
        <v>1</v>
      </c>
      <c r="K30" t="s">
        <v>76</v>
      </c>
    </row>
    <row r="31" spans="3:11" ht="12.75">
      <c r="C31" t="s">
        <v>78</v>
      </c>
      <c r="D31" t="s">
        <v>77</v>
      </c>
      <c r="E31" s="8">
        <f>1*5641.87</f>
        <v>5641.87</v>
      </c>
      <c r="F31" s="8">
        <f>1*10000</f>
        <v>10000</v>
      </c>
      <c r="G31" s="12">
        <f>E31-F31</f>
        <v>-4358.13</v>
      </c>
      <c r="H31" s="13">
        <f>IF(F31&lt;&gt;0,G31/F31*100,0)</f>
        <v>-43.5813</v>
      </c>
      <c r="J31">
        <v>1</v>
      </c>
      <c r="K31" t="s">
        <v>79</v>
      </c>
    </row>
    <row r="32" spans="3:11" ht="12.75">
      <c r="C32" t="s">
        <v>80</v>
      </c>
      <c r="D32" t="s">
        <v>81</v>
      </c>
      <c r="E32" s="8">
        <f>1*27093.44</f>
        <v>27093.44</v>
      </c>
      <c r="F32" s="8">
        <f>1*16000</f>
        <v>16000</v>
      </c>
      <c r="G32" s="14">
        <f>E32-F32</f>
        <v>11093.439999999999</v>
      </c>
      <c r="H32" s="15">
        <f>IF(F32&lt;&gt;0,G32/F32*100,0)</f>
        <v>69.33399999999999</v>
      </c>
      <c r="J32">
        <v>1</v>
      </c>
      <c r="K32" t="s">
        <v>80</v>
      </c>
    </row>
    <row r="33" spans="3:11" ht="12.75">
      <c r="C33" t="s">
        <v>82</v>
      </c>
      <c r="D33" t="s">
        <v>84</v>
      </c>
      <c r="E33" s="8">
        <f>1*11288.94</f>
        <v>11288.94</v>
      </c>
      <c r="F33" s="8">
        <f>1*13000</f>
        <v>13000</v>
      </c>
      <c r="G33" s="12">
        <f>E33-F33</f>
        <v>-1711.0599999999995</v>
      </c>
      <c r="H33" s="13">
        <f>IF(F33&lt;&gt;0,G33/F33*100,0)</f>
        <v>-13.161999999999995</v>
      </c>
      <c r="J33">
        <v>1</v>
      </c>
      <c r="K33" t="s">
        <v>83</v>
      </c>
    </row>
    <row r="34" spans="3:11" ht="12.75">
      <c r="C34" t="s">
        <v>85</v>
      </c>
      <c r="D34" t="s">
        <v>84</v>
      </c>
      <c r="E34" s="8">
        <f>1*11288.94</f>
        <v>11288.94</v>
      </c>
      <c r="F34" s="8">
        <f>1*13000</f>
        <v>13000</v>
      </c>
      <c r="G34" s="12">
        <f>E34-F34</f>
        <v>-1711.0599999999995</v>
      </c>
      <c r="H34" s="13">
        <f>IF(F34&lt;&gt;0,G34/F34*100,0)</f>
        <v>-13.161999999999995</v>
      </c>
      <c r="J34">
        <v>1</v>
      </c>
      <c r="K34" t="s">
        <v>86</v>
      </c>
    </row>
    <row r="35" spans="3:11" ht="12.75">
      <c r="C35" t="s">
        <v>87</v>
      </c>
      <c r="D35" t="s">
        <v>88</v>
      </c>
      <c r="E35" s="8">
        <f>1*15414.75</f>
        <v>15414.75</v>
      </c>
      <c r="F35" s="8">
        <f>1*10000</f>
        <v>10000</v>
      </c>
      <c r="G35" s="14">
        <f>E35-F35</f>
        <v>5414.75</v>
      </c>
      <c r="H35" s="15">
        <f>IF(F35&lt;&gt;0,G35/F35*100,0)</f>
        <v>54.1475</v>
      </c>
      <c r="J35">
        <v>1</v>
      </c>
      <c r="K35" t="s">
        <v>87</v>
      </c>
    </row>
    <row r="36" spans="3:11" ht="12.75">
      <c r="C36" t="s">
        <v>89</v>
      </c>
      <c r="D36" t="s">
        <v>90</v>
      </c>
      <c r="E36" s="8">
        <f>1*58429.3</f>
        <v>58429.3</v>
      </c>
      <c r="F36" s="8">
        <f>1*29000</f>
        <v>29000</v>
      </c>
      <c r="G36" s="14">
        <f>E36-F36</f>
        <v>29429.300000000003</v>
      </c>
      <c r="H36" s="15">
        <f>IF(F36&lt;&gt;0,G36/F36*100,0)</f>
        <v>101.48034482758621</v>
      </c>
      <c r="J36">
        <v>1</v>
      </c>
      <c r="K36" t="s">
        <v>89</v>
      </c>
    </row>
    <row r="37" spans="3:11" ht="12.75">
      <c r="C37" t="s">
        <v>91</v>
      </c>
      <c r="D37" t="s">
        <v>92</v>
      </c>
      <c r="E37" s="8">
        <f>1*7564.22</f>
        <v>7564.22</v>
      </c>
      <c r="F37" s="8">
        <f>1*3000</f>
        <v>3000</v>
      </c>
      <c r="G37" s="14">
        <f>E37-F37</f>
        <v>4564.22</v>
      </c>
      <c r="H37" s="15">
        <f>IF(F37&lt;&gt;0,G37/F37*100,0)</f>
        <v>152.14066666666668</v>
      </c>
      <c r="J37">
        <v>1</v>
      </c>
      <c r="K37" t="s">
        <v>91</v>
      </c>
    </row>
    <row r="38" spans="3:11" ht="12.75">
      <c r="C38" t="s">
        <v>93</v>
      </c>
      <c r="D38" t="s">
        <v>95</v>
      </c>
      <c r="E38" s="8">
        <f>1*11006.44</f>
        <v>11006.44</v>
      </c>
      <c r="F38" s="8">
        <f>1*12000</f>
        <v>12000</v>
      </c>
      <c r="G38" s="12">
        <f>E38-F38</f>
        <v>-993.5599999999995</v>
      </c>
      <c r="H38" s="13">
        <f>IF(F38&lt;&gt;0,G38/F38*100,0)</f>
        <v>-8.279666666666664</v>
      </c>
      <c r="J38">
        <v>1</v>
      </c>
      <c r="K38" t="s">
        <v>94</v>
      </c>
    </row>
    <row r="39" spans="3:11" ht="12.75">
      <c r="C39" t="s">
        <v>96</v>
      </c>
      <c r="D39" t="s">
        <v>95</v>
      </c>
      <c r="E39" s="8">
        <f>1*23857.62</f>
        <v>23857.62</v>
      </c>
      <c r="F39" s="8">
        <f>1*17000</f>
        <v>17000</v>
      </c>
      <c r="G39" s="14">
        <f>E39-F39</f>
        <v>6857.619999999999</v>
      </c>
      <c r="H39" s="15">
        <f>IF(F39&lt;&gt;0,G39/F39*100,0)</f>
        <v>40.338941176470584</v>
      </c>
      <c r="J39">
        <v>1</v>
      </c>
      <c r="K39" t="s">
        <v>97</v>
      </c>
    </row>
    <row r="40" spans="3:11" ht="12.75">
      <c r="C40" t="s">
        <v>98</v>
      </c>
      <c r="D40" t="s">
        <v>99</v>
      </c>
      <c r="E40" s="8">
        <f>1*10195.64</f>
        <v>10195.64</v>
      </c>
      <c r="F40" s="8">
        <f>1*7000</f>
        <v>7000</v>
      </c>
      <c r="G40" s="14">
        <f>E40-F40</f>
        <v>3195.6399999999994</v>
      </c>
      <c r="H40" s="15">
        <f>IF(F40&lt;&gt;0,G40/F40*100,0)</f>
        <v>45.651999999999994</v>
      </c>
      <c r="J40">
        <v>1</v>
      </c>
      <c r="K40" t="s">
        <v>98</v>
      </c>
    </row>
    <row r="41" spans="3:11" ht="12.75">
      <c r="C41" t="s">
        <v>100</v>
      </c>
      <c r="D41" t="s">
        <v>102</v>
      </c>
      <c r="E41" s="8">
        <f>1*18406.62</f>
        <v>18406.62</v>
      </c>
      <c r="F41" s="8">
        <f>1*18000</f>
        <v>18000</v>
      </c>
      <c r="G41" s="14">
        <f>E41-F41</f>
        <v>406.619999999999</v>
      </c>
      <c r="H41" s="15">
        <f>IF(F41&lt;&gt;0,G41/F41*100,0)</f>
        <v>2.258999999999994</v>
      </c>
      <c r="J41">
        <v>1</v>
      </c>
      <c r="K41" t="s">
        <v>101</v>
      </c>
    </row>
    <row r="42" spans="3:11" ht="12.75">
      <c r="C42" t="s">
        <v>103</v>
      </c>
      <c r="D42" t="s">
        <v>102</v>
      </c>
      <c r="E42" s="8">
        <f>1*18073.18</f>
        <v>18073.18</v>
      </c>
      <c r="F42" s="8">
        <f>1*17000</f>
        <v>17000</v>
      </c>
      <c r="G42" s="14">
        <f>E42-F42</f>
        <v>1073.1800000000003</v>
      </c>
      <c r="H42" s="15">
        <f>IF(F42&lt;&gt;0,G42/F42*100,0)</f>
        <v>6.312823529411767</v>
      </c>
      <c r="J42">
        <v>1</v>
      </c>
      <c r="K42" t="s">
        <v>104</v>
      </c>
    </row>
    <row r="43" spans="3:11" ht="12.75">
      <c r="C43" t="s">
        <v>105</v>
      </c>
      <c r="D43" t="s">
        <v>106</v>
      </c>
      <c r="E43" s="8">
        <f>1*24491.35</f>
        <v>24491.35</v>
      </c>
      <c r="F43" s="8">
        <f>1*8000</f>
        <v>8000</v>
      </c>
      <c r="G43" s="14">
        <f>E43-F43</f>
        <v>16491.35</v>
      </c>
      <c r="H43" s="15">
        <f>IF(F43&lt;&gt;0,G43/F43*100,0)</f>
        <v>206.14187499999997</v>
      </c>
      <c r="J43">
        <v>1</v>
      </c>
      <c r="K43" t="s">
        <v>105</v>
      </c>
    </row>
    <row r="44" spans="3:11" ht="12.75">
      <c r="C44" t="s">
        <v>107</v>
      </c>
      <c r="D44" t="s">
        <v>108</v>
      </c>
      <c r="E44" s="8">
        <f>1*91116.22</f>
        <v>91116.22</v>
      </c>
      <c r="F44" s="8">
        <f>1*33000</f>
        <v>33000</v>
      </c>
      <c r="G44" s="14">
        <f>E44-F44</f>
        <v>58116.22</v>
      </c>
      <c r="H44" s="15">
        <f>IF(F44&lt;&gt;0,G44/F44*100,0)</f>
        <v>176.10975757575758</v>
      </c>
      <c r="J44">
        <v>1</v>
      </c>
      <c r="K44" t="s">
        <v>107</v>
      </c>
    </row>
    <row r="45" spans="3:11" ht="12.75">
      <c r="C45" t="s">
        <v>109</v>
      </c>
      <c r="D45" t="s">
        <v>110</v>
      </c>
      <c r="E45" s="8">
        <f>1*72729.58</f>
        <v>72729.58</v>
      </c>
      <c r="F45" s="8">
        <f>1*44000</f>
        <v>44000</v>
      </c>
      <c r="G45" s="14">
        <f>E45-F45</f>
        <v>28729.58</v>
      </c>
      <c r="H45" s="15">
        <f>IF(F45&lt;&gt;0,G45/F45*100,0)</f>
        <v>65.2945</v>
      </c>
      <c r="J45">
        <v>1</v>
      </c>
      <c r="K45" t="s">
        <v>109</v>
      </c>
    </row>
    <row r="46" spans="3:11" ht="12.75">
      <c r="C46" t="s">
        <v>111</v>
      </c>
      <c r="D46" t="s">
        <v>112</v>
      </c>
      <c r="E46" s="8">
        <f>1*22543.12</f>
        <v>22543.12</v>
      </c>
      <c r="F46" s="8">
        <f>1*10000</f>
        <v>10000</v>
      </c>
      <c r="G46" s="14">
        <f>E46-F46</f>
        <v>12543.119999999999</v>
      </c>
      <c r="H46" s="15">
        <f>IF(F46&lt;&gt;0,G46/F46*100,0)</f>
        <v>125.43119999999999</v>
      </c>
      <c r="J46">
        <v>1</v>
      </c>
      <c r="K46" t="s">
        <v>111</v>
      </c>
    </row>
    <row r="47" spans="3:11" ht="12.75">
      <c r="C47" t="s">
        <v>113</v>
      </c>
      <c r="D47" t="s">
        <v>114</v>
      </c>
      <c r="E47" s="8">
        <f>1*41812.23</f>
        <v>41812.23</v>
      </c>
      <c r="F47" s="8">
        <f>1*38000</f>
        <v>38000</v>
      </c>
      <c r="G47" s="14">
        <f>E47-F47</f>
        <v>3812.230000000003</v>
      </c>
      <c r="H47" s="15">
        <f>IF(F47&lt;&gt;0,G47/F47*100,0)</f>
        <v>10.032184210526324</v>
      </c>
      <c r="J47">
        <v>1</v>
      </c>
      <c r="K47" t="s">
        <v>113</v>
      </c>
    </row>
    <row r="48" spans="3:11" ht="12.75">
      <c r="C48" t="s">
        <v>115</v>
      </c>
      <c r="D48" t="s">
        <v>116</v>
      </c>
      <c r="E48" s="8">
        <f>1*27655.86</f>
        <v>27655.86</v>
      </c>
      <c r="F48" s="8">
        <f>1*25000</f>
        <v>25000</v>
      </c>
      <c r="G48" s="14">
        <f>E48-F48</f>
        <v>2655.8600000000006</v>
      </c>
      <c r="H48" s="15">
        <f>IF(F48&lt;&gt;0,G48/F48*100,0)</f>
        <v>10.623440000000002</v>
      </c>
      <c r="J48">
        <v>1</v>
      </c>
      <c r="K48" t="s">
        <v>115</v>
      </c>
    </row>
    <row r="49" spans="3:11" ht="12.75">
      <c r="C49" t="s">
        <v>117</v>
      </c>
      <c r="D49" t="s">
        <v>118</v>
      </c>
      <c r="E49" s="8">
        <f>1*11925.19</f>
        <v>11925.19</v>
      </c>
      <c r="F49" s="8">
        <f>1*12000</f>
        <v>12000</v>
      </c>
      <c r="G49" s="12">
        <f>E49-F49</f>
        <v>-74.80999999999949</v>
      </c>
      <c r="H49" s="13">
        <f>IF(F49&lt;&gt;0,G49/F49*100,0)</f>
        <v>-0.6234166666666624</v>
      </c>
      <c r="J49">
        <v>1</v>
      </c>
      <c r="K49" t="s">
        <v>117</v>
      </c>
    </row>
    <row r="50" spans="3:11" ht="12.75">
      <c r="C50" t="s">
        <v>119</v>
      </c>
      <c r="D50" t="s">
        <v>120</v>
      </c>
      <c r="E50" s="8">
        <f>1*47608.45</f>
        <v>47608.45</v>
      </c>
      <c r="F50" s="8">
        <f>1*18000</f>
        <v>18000</v>
      </c>
      <c r="G50" s="14">
        <f>E50-F50</f>
        <v>29608.449999999997</v>
      </c>
      <c r="H50" s="15">
        <f>IF(F50&lt;&gt;0,G50/F50*100,0)</f>
        <v>164.49138888888888</v>
      </c>
      <c r="J50">
        <v>1</v>
      </c>
      <c r="K50" t="s">
        <v>119</v>
      </c>
    </row>
    <row r="51" spans="3:11" ht="12.75">
      <c r="C51" t="s">
        <v>121</v>
      </c>
      <c r="D51" t="s">
        <v>122</v>
      </c>
      <c r="E51" s="8">
        <f>1*14908.47</f>
        <v>14908.47</v>
      </c>
      <c r="F51" s="8">
        <f>1*15000</f>
        <v>15000</v>
      </c>
      <c r="G51" s="12">
        <f>E51-F51</f>
        <v>-91.53000000000065</v>
      </c>
      <c r="H51" s="13">
        <f>IF(F51&lt;&gt;0,G51/F51*100,0)</f>
        <v>-0.6102000000000044</v>
      </c>
      <c r="J51">
        <v>1</v>
      </c>
      <c r="K51" t="s">
        <v>121</v>
      </c>
    </row>
    <row r="52" spans="3:11" ht="12.75">
      <c r="C52" t="s">
        <v>123</v>
      </c>
      <c r="D52" t="s">
        <v>122</v>
      </c>
      <c r="E52" s="8">
        <f>1*30407.93</f>
        <v>30407.93</v>
      </c>
      <c r="F52" s="8">
        <f>1*37000</f>
        <v>37000</v>
      </c>
      <c r="G52" s="12">
        <f>E52-F52</f>
        <v>-6592.07</v>
      </c>
      <c r="H52" s="13">
        <f>IF(F52&lt;&gt;0,G52/F52*100,0)</f>
        <v>-17.816405405405405</v>
      </c>
      <c r="J52">
        <v>1</v>
      </c>
      <c r="K52" t="s">
        <v>124</v>
      </c>
    </row>
    <row r="53" spans="3:11" ht="12.75">
      <c r="C53" t="s">
        <v>125</v>
      </c>
      <c r="D53" t="s">
        <v>122</v>
      </c>
      <c r="E53" s="8">
        <f>1*16138.87</f>
        <v>16138.87</v>
      </c>
      <c r="F53" s="8">
        <f>1*15000</f>
        <v>15000</v>
      </c>
      <c r="G53" s="14">
        <f>E53-F53</f>
        <v>1138.8700000000008</v>
      </c>
      <c r="H53" s="15">
        <f>IF(F53&lt;&gt;0,G53/F53*100,0)</f>
        <v>7.592466666666672</v>
      </c>
      <c r="J53">
        <v>1</v>
      </c>
      <c r="K53" t="s">
        <v>126</v>
      </c>
    </row>
    <row r="54" spans="3:11" ht="12.75">
      <c r="C54" t="s">
        <v>127</v>
      </c>
      <c r="D54" t="s">
        <v>128</v>
      </c>
      <c r="E54" s="8">
        <f>1*4948.07</f>
        <v>4948.07</v>
      </c>
      <c r="F54" s="8">
        <f>1*5000</f>
        <v>5000</v>
      </c>
      <c r="G54" s="12">
        <f>E54-F54</f>
        <v>-51.93000000000029</v>
      </c>
      <c r="H54" s="13">
        <f>IF(F54&lt;&gt;0,G54/F54*100,0)</f>
        <v>-1.0386000000000057</v>
      </c>
      <c r="J54">
        <v>1</v>
      </c>
      <c r="K54" t="s">
        <v>127</v>
      </c>
    </row>
    <row r="55" spans="3:11" ht="12.75">
      <c r="C55" t="s">
        <v>129</v>
      </c>
      <c r="D55" t="s">
        <v>128</v>
      </c>
      <c r="E55" s="8">
        <f>1*11304.03</f>
        <v>11304.03</v>
      </c>
      <c r="F55" s="8">
        <f>1*12000</f>
        <v>12000</v>
      </c>
      <c r="G55" s="12">
        <f>E55-F55</f>
        <v>-695.9699999999993</v>
      </c>
      <c r="H55" s="13">
        <f>IF(F55&lt;&gt;0,G55/F55*100,0)</f>
        <v>-5.799749999999994</v>
      </c>
      <c r="J55">
        <v>1</v>
      </c>
      <c r="K55" t="s">
        <v>130</v>
      </c>
    </row>
    <row r="56" spans="3:11" ht="12.75">
      <c r="C56" t="s">
        <v>131</v>
      </c>
      <c r="D56" t="s">
        <v>128</v>
      </c>
      <c r="E56" s="8">
        <f>1*15121.62</f>
        <v>15121.62</v>
      </c>
      <c r="F56" s="8">
        <f>1*12000</f>
        <v>12000</v>
      </c>
      <c r="G56" s="14">
        <f>E56-F56</f>
        <v>3121.620000000001</v>
      </c>
      <c r="H56" s="15">
        <f>IF(F56&lt;&gt;0,G56/F56*100,0)</f>
        <v>26.013500000000008</v>
      </c>
      <c r="J56">
        <v>1</v>
      </c>
      <c r="K56" t="s">
        <v>132</v>
      </c>
    </row>
    <row r="57" spans="3:11" ht="12.75">
      <c r="C57" t="s">
        <v>133</v>
      </c>
      <c r="D57" t="s">
        <v>135</v>
      </c>
      <c r="E57" s="8">
        <f>1*0</f>
        <v>0</v>
      </c>
      <c r="F57" s="8">
        <f>1*54000</f>
        <v>54000</v>
      </c>
      <c r="G57" s="12">
        <f>E57-F57</f>
        <v>-54000</v>
      </c>
      <c r="H57" s="13">
        <f>IF(F57&lt;&gt;0,G57/F57*100,0)</f>
        <v>-100</v>
      </c>
      <c r="J57">
        <v>1</v>
      </c>
      <c r="K57" t="s">
        <v>134</v>
      </c>
    </row>
    <row r="58" spans="3:11" ht="12.75">
      <c r="C58" t="s">
        <v>136</v>
      </c>
      <c r="D58" t="s">
        <v>135</v>
      </c>
      <c r="E58" s="8">
        <f>1*145665.35</f>
        <v>145665.35</v>
      </c>
      <c r="F58" s="8">
        <f>1*125000</f>
        <v>125000</v>
      </c>
      <c r="G58" s="14">
        <f>E58-F58</f>
        <v>20665.350000000006</v>
      </c>
      <c r="H58" s="15">
        <f>IF(F58&lt;&gt;0,G58/F58*100,0)</f>
        <v>16.532280000000004</v>
      </c>
      <c r="J58">
        <v>1</v>
      </c>
      <c r="K58" t="s">
        <v>137</v>
      </c>
    </row>
    <row r="59" spans="3:11" ht="12.75">
      <c r="C59" t="s">
        <v>138</v>
      </c>
      <c r="D59" t="s">
        <v>140</v>
      </c>
      <c r="E59" s="8">
        <f>1*11998.95</f>
        <v>11998.95</v>
      </c>
      <c r="F59" s="8">
        <f>1*14000</f>
        <v>14000</v>
      </c>
      <c r="G59" s="12">
        <f>E59-F59</f>
        <v>-2001.0499999999993</v>
      </c>
      <c r="H59" s="13">
        <f>IF(F59&lt;&gt;0,G59/F59*100,0)</f>
        <v>-14.293214285714281</v>
      </c>
      <c r="J59">
        <v>1</v>
      </c>
      <c r="K59" t="s">
        <v>139</v>
      </c>
    </row>
    <row r="60" spans="3:11" ht="12.75">
      <c r="C60" t="s">
        <v>141</v>
      </c>
      <c r="D60" t="s">
        <v>140</v>
      </c>
      <c r="E60" s="8">
        <f>1*14181.92</f>
        <v>14181.92</v>
      </c>
      <c r="F60" s="8">
        <f>1*16000</f>
        <v>16000</v>
      </c>
      <c r="G60" s="12">
        <f>E60-F60</f>
        <v>-1818.08</v>
      </c>
      <c r="H60" s="13">
        <f>IF(F60&lt;&gt;0,G60/F60*100,0)</f>
        <v>-11.363</v>
      </c>
      <c r="J60">
        <v>1</v>
      </c>
      <c r="K60" t="s">
        <v>142</v>
      </c>
    </row>
    <row r="61" spans="3:11" ht="12.75">
      <c r="C61" t="s">
        <v>143</v>
      </c>
      <c r="D61" t="s">
        <v>144</v>
      </c>
      <c r="E61" s="8">
        <f>1*19651.95</f>
        <v>19651.95</v>
      </c>
      <c r="F61" s="8">
        <f>1*16000</f>
        <v>16000</v>
      </c>
      <c r="G61" s="14">
        <f>E61-F61</f>
        <v>3651.9500000000007</v>
      </c>
      <c r="H61" s="15">
        <f>IF(F61&lt;&gt;0,G61/F61*100,0)</f>
        <v>22.824687500000003</v>
      </c>
      <c r="J61">
        <v>1</v>
      </c>
      <c r="K61" t="s">
        <v>143</v>
      </c>
    </row>
    <row r="62" ht="12.75">
      <c r="J62">
        <v>1.1</v>
      </c>
    </row>
    <row r="63" spans="1:11" ht="12.75">
      <c r="A63" t="s">
        <v>13</v>
      </c>
      <c r="B63" s="10">
        <v>43890</v>
      </c>
      <c r="C63" t="s">
        <v>11</v>
      </c>
      <c r="D63" t="s">
        <v>12</v>
      </c>
      <c r="E63" s="8">
        <f>-1*-310537.66</f>
        <v>310537.66</v>
      </c>
      <c r="F63" s="8">
        <f>-1*-300000</f>
        <v>300000</v>
      </c>
      <c r="G63" s="14">
        <f>E63-F63</f>
        <v>10537.659999999974</v>
      </c>
      <c r="H63" s="15">
        <f>IF(F63&lt;&gt;0,G63/F63*100,0)</f>
        <v>3.512553333333325</v>
      </c>
      <c r="J63">
        <v>2</v>
      </c>
      <c r="K63" t="s">
        <v>11</v>
      </c>
    </row>
    <row r="64" spans="3:11" ht="12.75">
      <c r="C64" t="s">
        <v>24</v>
      </c>
      <c r="D64" t="s">
        <v>12</v>
      </c>
      <c r="E64" s="8">
        <f>-1*-385577.12</f>
        <v>385577.12</v>
      </c>
      <c r="F64" s="8">
        <f>-1*-82000</f>
        <v>82000</v>
      </c>
      <c r="G64" s="14">
        <f>E64-F64</f>
        <v>303577.12</v>
      </c>
      <c r="H64" s="15">
        <f>IF(F64&lt;&gt;0,G64/F64*100,0)</f>
        <v>370.216</v>
      </c>
      <c r="J64">
        <v>2</v>
      </c>
      <c r="K64" t="s">
        <v>25</v>
      </c>
    </row>
    <row r="65" spans="3:11" ht="12.75">
      <c r="C65" t="s">
        <v>26</v>
      </c>
      <c r="D65" t="s">
        <v>12</v>
      </c>
      <c r="E65" s="8">
        <f>-1*-189803.38</f>
        <v>189803.38</v>
      </c>
      <c r="F65" s="8">
        <f>-1*-186000</f>
        <v>186000</v>
      </c>
      <c r="G65" s="14">
        <f>E65-F65</f>
        <v>3803.3800000000047</v>
      </c>
      <c r="H65" s="15">
        <f>IF(F65&lt;&gt;0,G65/F65*100,0)</f>
        <v>2.04482795698925</v>
      </c>
      <c r="J65">
        <v>2</v>
      </c>
      <c r="K65" t="s">
        <v>27</v>
      </c>
    </row>
    <row r="66" spans="3:11" ht="12.75">
      <c r="C66" t="s">
        <v>28</v>
      </c>
      <c r="D66" t="s">
        <v>30</v>
      </c>
      <c r="E66" s="8">
        <f>-1*-4678.92</f>
        <v>4678.92</v>
      </c>
      <c r="F66" s="8">
        <f>-1*-5000</f>
        <v>5000</v>
      </c>
      <c r="G66" s="12">
        <f>E66-F66</f>
        <v>-321.0799999999999</v>
      </c>
      <c r="H66" s="13">
        <f>IF(F66&lt;&gt;0,G66/F66*100,0)</f>
        <v>-6.421599999999998</v>
      </c>
      <c r="J66">
        <v>2</v>
      </c>
      <c r="K66" t="s">
        <v>29</v>
      </c>
    </row>
    <row r="67" spans="3:11" ht="12.75">
      <c r="C67" t="s">
        <v>31</v>
      </c>
      <c r="D67" t="s">
        <v>30</v>
      </c>
      <c r="E67" s="8">
        <f>-1*-9777.98</f>
        <v>9777.98</v>
      </c>
      <c r="F67" s="8">
        <f>-1*-7000</f>
        <v>7000</v>
      </c>
      <c r="G67" s="14">
        <f>E67-F67</f>
        <v>2777.9799999999996</v>
      </c>
      <c r="H67" s="15">
        <f>IF(F67&lt;&gt;0,G67/F67*100,0)</f>
        <v>39.68542857142857</v>
      </c>
      <c r="J67">
        <v>2</v>
      </c>
      <c r="K67" t="s">
        <v>32</v>
      </c>
    </row>
    <row r="68" spans="3:11" ht="12.75">
      <c r="C68" t="s">
        <v>33</v>
      </c>
      <c r="D68" t="s">
        <v>30</v>
      </c>
      <c r="E68" s="8">
        <f>-1*-1928.04</f>
        <v>1928.04</v>
      </c>
      <c r="F68" s="8">
        <f>-1*-2000</f>
        <v>2000</v>
      </c>
      <c r="G68" s="12">
        <f>E68-F68</f>
        <v>-71.96000000000004</v>
      </c>
      <c r="H68" s="13">
        <f>IF(F68&lt;&gt;0,G68/F68*100,0)</f>
        <v>-3.598000000000002</v>
      </c>
      <c r="J68">
        <v>2</v>
      </c>
      <c r="K68" t="s">
        <v>34</v>
      </c>
    </row>
    <row r="69" spans="3:11" ht="12.75">
      <c r="C69" t="s">
        <v>35</v>
      </c>
      <c r="D69" t="s">
        <v>30</v>
      </c>
      <c r="E69" s="8">
        <f>-1*-2313.69</f>
        <v>2313.69</v>
      </c>
      <c r="F69" s="8">
        <f>-1*-2000</f>
        <v>2000</v>
      </c>
      <c r="G69" s="14">
        <f>E69-F69</f>
        <v>313.69000000000005</v>
      </c>
      <c r="H69" s="15">
        <f>IF(F69&lt;&gt;0,G69/F69*100,0)</f>
        <v>15.684500000000003</v>
      </c>
      <c r="J69">
        <v>2</v>
      </c>
      <c r="K69" t="s">
        <v>36</v>
      </c>
    </row>
    <row r="70" spans="3:11" ht="12.75">
      <c r="C70" t="s">
        <v>37</v>
      </c>
      <c r="D70" t="s">
        <v>30</v>
      </c>
      <c r="E70" s="8">
        <f>-1*-5972.92</f>
        <v>5972.92</v>
      </c>
      <c r="F70" s="8">
        <f>-1*-6000</f>
        <v>6000</v>
      </c>
      <c r="G70" s="12">
        <f>E70-F70</f>
        <v>-27.079999999999927</v>
      </c>
      <c r="H70" s="13">
        <f>IF(F70&lt;&gt;0,G70/F70*100,0)</f>
        <v>-0.45133333333333214</v>
      </c>
      <c r="J70">
        <v>2</v>
      </c>
      <c r="K70" t="s">
        <v>38</v>
      </c>
    </row>
    <row r="71" spans="3:11" ht="12.75">
      <c r="C71" t="s">
        <v>39</v>
      </c>
      <c r="D71" t="s">
        <v>30</v>
      </c>
      <c r="E71" s="8">
        <f>-1*-6418.1</f>
        <v>6418.1</v>
      </c>
      <c r="F71" s="8">
        <f>-1*-6000</f>
        <v>6000</v>
      </c>
      <c r="G71" s="14">
        <f>E71-F71</f>
        <v>418.10000000000036</v>
      </c>
      <c r="H71" s="15">
        <f>IF(F71&lt;&gt;0,G71/F71*100,0)</f>
        <v>6.968333333333339</v>
      </c>
      <c r="J71">
        <v>2</v>
      </c>
      <c r="K71" t="s">
        <v>40</v>
      </c>
    </row>
    <row r="72" spans="3:11" ht="12.75">
      <c r="C72" t="s">
        <v>41</v>
      </c>
      <c r="D72" t="s">
        <v>30</v>
      </c>
      <c r="E72" s="8">
        <f>-1*-3776.09</f>
        <v>3776.09</v>
      </c>
      <c r="F72" s="8">
        <f>-1*-3000</f>
        <v>3000</v>
      </c>
      <c r="G72" s="14">
        <f>E72-F72</f>
        <v>776.0900000000001</v>
      </c>
      <c r="H72" s="15">
        <f>IF(F72&lt;&gt;0,G72/F72*100,0)</f>
        <v>25.869666666666674</v>
      </c>
      <c r="J72">
        <v>2</v>
      </c>
      <c r="K72" t="s">
        <v>42</v>
      </c>
    </row>
    <row r="73" spans="3:11" ht="12.75">
      <c r="C73" t="s">
        <v>43</v>
      </c>
      <c r="D73" t="s">
        <v>30</v>
      </c>
      <c r="E73" s="8">
        <f>-1*-3220.61</f>
        <v>3220.61</v>
      </c>
      <c r="F73" s="8">
        <f>-1*-3000</f>
        <v>3000</v>
      </c>
      <c r="G73" s="14">
        <f>E73-F73</f>
        <v>220.61000000000013</v>
      </c>
      <c r="H73" s="15">
        <f>IF(F73&lt;&gt;0,G73/F73*100,0)</f>
        <v>7.353666666666671</v>
      </c>
      <c r="J73">
        <v>2</v>
      </c>
      <c r="K73" t="s">
        <v>44</v>
      </c>
    </row>
    <row r="74" spans="3:11" ht="12.75">
      <c r="C74" t="s">
        <v>45</v>
      </c>
      <c r="D74" t="s">
        <v>46</v>
      </c>
      <c r="E74" s="8">
        <f>-1*-80895.25</f>
        <v>80895.25</v>
      </c>
      <c r="F74" s="8">
        <f>-1*-16000</f>
        <v>16000</v>
      </c>
      <c r="G74" s="14">
        <f>E74-F74</f>
        <v>64895.25</v>
      </c>
      <c r="H74" s="15">
        <f>IF(F74&lt;&gt;0,G74/F74*100,0)</f>
        <v>405.59531250000003</v>
      </c>
      <c r="J74">
        <v>2</v>
      </c>
      <c r="K74" t="s">
        <v>45</v>
      </c>
    </row>
    <row r="75" spans="3:11" ht="12.75">
      <c r="C75" t="s">
        <v>47</v>
      </c>
      <c r="D75" t="s">
        <v>48</v>
      </c>
      <c r="E75" s="8">
        <f>-1*-261139.64</f>
        <v>261139.64</v>
      </c>
      <c r="F75" s="8">
        <f>-1*-47000</f>
        <v>47000</v>
      </c>
      <c r="G75" s="14">
        <f>E75-F75</f>
        <v>214139.64</v>
      </c>
      <c r="H75" s="15">
        <f>IF(F75&lt;&gt;0,G75/F75*100,0)</f>
        <v>455.61625531914893</v>
      </c>
      <c r="J75">
        <v>2</v>
      </c>
      <c r="K75" t="s">
        <v>47</v>
      </c>
    </row>
    <row r="76" spans="3:11" ht="12.75">
      <c r="C76" t="s">
        <v>49</v>
      </c>
      <c r="D76" t="s">
        <v>50</v>
      </c>
      <c r="E76" s="8">
        <f>-1*-204696.63</f>
        <v>204696.63</v>
      </c>
      <c r="F76" s="8">
        <f>-1*-28000</f>
        <v>28000</v>
      </c>
      <c r="G76" s="14">
        <f>E76-F76</f>
        <v>176696.63</v>
      </c>
      <c r="H76" s="15">
        <f>IF(F76&lt;&gt;0,G76/F76*100,0)</f>
        <v>631.0593928571428</v>
      </c>
      <c r="J76">
        <v>2</v>
      </c>
      <c r="K76" t="s">
        <v>49</v>
      </c>
    </row>
    <row r="77" spans="3:11" ht="12.75">
      <c r="C77" t="s">
        <v>51</v>
      </c>
      <c r="D77" t="s">
        <v>52</v>
      </c>
      <c r="E77" s="8">
        <f>-1*-353302.69</f>
        <v>353302.69</v>
      </c>
      <c r="F77" s="8">
        <f>-1*-60000</f>
        <v>60000</v>
      </c>
      <c r="G77" s="14">
        <f>E77-F77</f>
        <v>293302.69</v>
      </c>
      <c r="H77" s="15">
        <f>IF(F77&lt;&gt;0,G77/F77*100,0)</f>
        <v>488.83781666666664</v>
      </c>
      <c r="J77">
        <v>2</v>
      </c>
      <c r="K77" t="s">
        <v>51</v>
      </c>
    </row>
    <row r="78" spans="3:11" ht="12.75">
      <c r="C78" t="s">
        <v>53</v>
      </c>
      <c r="D78" t="s">
        <v>54</v>
      </c>
      <c r="E78" s="8">
        <f>-1*-65769.53</f>
        <v>65769.53</v>
      </c>
      <c r="F78" s="8">
        <f>-1*-16000</f>
        <v>16000</v>
      </c>
      <c r="G78" s="14">
        <f>E78-F78</f>
        <v>49769.53</v>
      </c>
      <c r="H78" s="15">
        <f>IF(F78&lt;&gt;0,G78/F78*100,0)</f>
        <v>311.05956249999997</v>
      </c>
      <c r="J78">
        <v>2</v>
      </c>
      <c r="K78" t="s">
        <v>53</v>
      </c>
    </row>
    <row r="79" spans="3:11" ht="12.75">
      <c r="C79" t="s">
        <v>55</v>
      </c>
      <c r="D79" t="s">
        <v>56</v>
      </c>
      <c r="E79" s="8">
        <f>1*5364.1</f>
        <v>5364.1</v>
      </c>
      <c r="F79" s="8">
        <f>1*10000</f>
        <v>10000</v>
      </c>
      <c r="G79" s="12">
        <f>E79-F79</f>
        <v>-4635.9</v>
      </c>
      <c r="H79" s="13">
        <f>IF(F79&lt;&gt;0,G79/F79*100,0)</f>
        <v>-46.358999999999995</v>
      </c>
      <c r="J79">
        <v>2</v>
      </c>
      <c r="K79" t="s">
        <v>55</v>
      </c>
    </row>
    <row r="80" spans="3:11" ht="12.75">
      <c r="C80" t="s">
        <v>57</v>
      </c>
      <c r="D80" t="s">
        <v>58</v>
      </c>
      <c r="E80" s="8">
        <f>1*67454.89</f>
        <v>67454.89</v>
      </c>
      <c r="F80" s="8">
        <f>1*67000</f>
        <v>67000</v>
      </c>
      <c r="G80" s="14">
        <f>E80-F80</f>
        <v>454.8899999999994</v>
      </c>
      <c r="H80" s="15">
        <f>IF(F80&lt;&gt;0,G80/F80*100,0)</f>
        <v>0.6789402985074618</v>
      </c>
      <c r="J80">
        <v>2</v>
      </c>
      <c r="K80" t="s">
        <v>57</v>
      </c>
    </row>
    <row r="81" spans="3:11" ht="12.75">
      <c r="C81" t="s">
        <v>59</v>
      </c>
      <c r="D81" t="s">
        <v>60</v>
      </c>
      <c r="E81" s="8">
        <f>1*9916.12</f>
        <v>9916.12</v>
      </c>
      <c r="F81" s="8">
        <f>1*15000</f>
        <v>15000</v>
      </c>
      <c r="G81" s="12">
        <f>E81-F81</f>
        <v>-5083.879999999999</v>
      </c>
      <c r="H81" s="13">
        <f>IF(F81&lt;&gt;0,G81/F81*100,0)</f>
        <v>-33.89253333333333</v>
      </c>
      <c r="J81">
        <v>2</v>
      </c>
      <c r="K81" t="s">
        <v>59</v>
      </c>
    </row>
    <row r="82" spans="3:11" ht="12.75">
      <c r="C82" t="s">
        <v>61</v>
      </c>
      <c r="D82" t="s">
        <v>60</v>
      </c>
      <c r="E82" s="8">
        <f>1*8927.29</f>
        <v>8927.29</v>
      </c>
      <c r="F82" s="8">
        <f>1*8000</f>
        <v>8000</v>
      </c>
      <c r="G82" s="14">
        <f>E82-F82</f>
        <v>927.2900000000009</v>
      </c>
      <c r="H82" s="15">
        <f>IF(F82&lt;&gt;0,G82/F82*100,0)</f>
        <v>11.59112500000001</v>
      </c>
      <c r="J82">
        <v>2</v>
      </c>
      <c r="K82" t="s">
        <v>62</v>
      </c>
    </row>
    <row r="83" spans="3:11" ht="12.75">
      <c r="C83" t="s">
        <v>63</v>
      </c>
      <c r="D83" t="s">
        <v>60</v>
      </c>
      <c r="E83" s="8">
        <f>1*8102.22</f>
        <v>8102.22</v>
      </c>
      <c r="F83" s="8">
        <f>1*12000</f>
        <v>12000</v>
      </c>
      <c r="G83" s="12">
        <f>E83-F83</f>
        <v>-3897.7799999999997</v>
      </c>
      <c r="H83" s="13">
        <f>IF(F83&lt;&gt;0,G83/F83*100,0)</f>
        <v>-32.4815</v>
      </c>
      <c r="J83">
        <v>2</v>
      </c>
      <c r="K83" t="s">
        <v>64</v>
      </c>
    </row>
    <row r="84" spans="3:11" ht="12.75">
      <c r="C84" t="s">
        <v>65</v>
      </c>
      <c r="D84" t="s">
        <v>66</v>
      </c>
      <c r="E84" s="8">
        <f>1*27667.55</f>
        <v>27667.55</v>
      </c>
      <c r="F84" s="8">
        <f>1*50000</f>
        <v>50000</v>
      </c>
      <c r="G84" s="12">
        <f>E84-F84</f>
        <v>-22332.45</v>
      </c>
      <c r="H84" s="13">
        <f>IF(F84&lt;&gt;0,G84/F84*100,0)</f>
        <v>-44.6649</v>
      </c>
      <c r="J84">
        <v>2</v>
      </c>
      <c r="K84" t="s">
        <v>65</v>
      </c>
    </row>
    <row r="85" spans="3:11" ht="12.75">
      <c r="C85" t="s">
        <v>67</v>
      </c>
      <c r="D85" t="s">
        <v>66</v>
      </c>
      <c r="E85" s="8">
        <f>1*0</f>
        <v>0</v>
      </c>
      <c r="F85" s="8">
        <f>1*26000</f>
        <v>26000</v>
      </c>
      <c r="G85" s="12">
        <f>E85-F85</f>
        <v>-26000</v>
      </c>
      <c r="H85" s="13">
        <f>IF(F85&lt;&gt;0,G85/F85*100,0)</f>
        <v>-100</v>
      </c>
      <c r="J85">
        <v>2</v>
      </c>
      <c r="K85" t="s">
        <v>68</v>
      </c>
    </row>
    <row r="86" spans="3:11" ht="12.75">
      <c r="C86" t="s">
        <v>69</v>
      </c>
      <c r="D86" t="s">
        <v>66</v>
      </c>
      <c r="E86" s="8">
        <f>1*34280.63</f>
        <v>34280.63</v>
      </c>
      <c r="F86" s="8">
        <f>1*14000</f>
        <v>14000</v>
      </c>
      <c r="G86" s="14">
        <f>E86-F86</f>
        <v>20280.629999999997</v>
      </c>
      <c r="H86" s="15">
        <f>IF(F86&lt;&gt;0,G86/F86*100,0)</f>
        <v>144.86164285714284</v>
      </c>
      <c r="J86">
        <v>2</v>
      </c>
      <c r="K86" t="s">
        <v>70</v>
      </c>
    </row>
    <row r="87" spans="3:11" ht="12.75">
      <c r="C87" t="s">
        <v>71</v>
      </c>
      <c r="D87" t="s">
        <v>72</v>
      </c>
      <c r="E87" s="8">
        <f>1*28303.4</f>
        <v>28303.4</v>
      </c>
      <c r="F87" s="8">
        <f>1*13000</f>
        <v>13000</v>
      </c>
      <c r="G87" s="14">
        <f>E87-F87</f>
        <v>15303.400000000001</v>
      </c>
      <c r="H87" s="15">
        <f>IF(F87&lt;&gt;0,G87/F87*100,0)</f>
        <v>117.71846153846155</v>
      </c>
      <c r="J87">
        <v>2</v>
      </c>
      <c r="K87" t="s">
        <v>71</v>
      </c>
    </row>
    <row r="88" spans="3:11" ht="12.75">
      <c r="C88" t="s">
        <v>73</v>
      </c>
      <c r="D88" t="s">
        <v>74</v>
      </c>
      <c r="E88" s="8">
        <f>1*7444.75</f>
        <v>7444.75</v>
      </c>
      <c r="F88" s="8">
        <f>1*3000</f>
        <v>3000</v>
      </c>
      <c r="G88" s="14">
        <f>E88-F88</f>
        <v>4444.75</v>
      </c>
      <c r="H88" s="15">
        <f>IF(F88&lt;&gt;0,G88/F88*100,0)</f>
        <v>148.15833333333333</v>
      </c>
      <c r="J88">
        <v>2</v>
      </c>
      <c r="K88" t="s">
        <v>73</v>
      </c>
    </row>
    <row r="89" spans="3:11" ht="12.75">
      <c r="C89" t="s">
        <v>75</v>
      </c>
      <c r="D89" t="s">
        <v>77</v>
      </c>
      <c r="E89" s="8">
        <f>1*3550.27</f>
        <v>3550.27</v>
      </c>
      <c r="F89" s="8">
        <f>1*12000</f>
        <v>12000</v>
      </c>
      <c r="G89" s="12">
        <f>E89-F89</f>
        <v>-8449.73</v>
      </c>
      <c r="H89" s="13">
        <f>IF(F89&lt;&gt;0,G89/F89*100,0)</f>
        <v>-70.41441666666667</v>
      </c>
      <c r="J89">
        <v>2</v>
      </c>
      <c r="K89" t="s">
        <v>76</v>
      </c>
    </row>
    <row r="90" spans="3:11" ht="12.75">
      <c r="C90" t="s">
        <v>78</v>
      </c>
      <c r="D90" t="s">
        <v>77</v>
      </c>
      <c r="E90" s="8">
        <f>1*5413.48</f>
        <v>5413.48</v>
      </c>
      <c r="F90" s="8">
        <f>1*10000</f>
        <v>10000</v>
      </c>
      <c r="G90" s="12">
        <f>E90-F90</f>
        <v>-4586.52</v>
      </c>
      <c r="H90" s="13">
        <f>IF(F90&lt;&gt;0,G90/F90*100,0)</f>
        <v>-45.86520000000001</v>
      </c>
      <c r="J90">
        <v>2</v>
      </c>
      <c r="K90" t="s">
        <v>79</v>
      </c>
    </row>
    <row r="91" spans="3:11" ht="12.75">
      <c r="C91" t="s">
        <v>80</v>
      </c>
      <c r="D91" t="s">
        <v>81</v>
      </c>
      <c r="E91" s="8">
        <f>1*27093.44</f>
        <v>27093.44</v>
      </c>
      <c r="F91" s="8">
        <f>1*16000</f>
        <v>16000</v>
      </c>
      <c r="G91" s="14">
        <f>E91-F91</f>
        <v>11093.439999999999</v>
      </c>
      <c r="H91" s="15">
        <f>IF(F91&lt;&gt;0,G91/F91*100,0)</f>
        <v>69.33399999999999</v>
      </c>
      <c r="J91">
        <v>2</v>
      </c>
      <c r="K91" t="s">
        <v>80</v>
      </c>
    </row>
    <row r="92" spans="3:11" ht="12.75">
      <c r="C92" t="s">
        <v>82</v>
      </c>
      <c r="D92" t="s">
        <v>84</v>
      </c>
      <c r="E92" s="8">
        <f>1*11288.94</f>
        <v>11288.94</v>
      </c>
      <c r="F92" s="8">
        <f>1*13000</f>
        <v>13000</v>
      </c>
      <c r="G92" s="12">
        <f>E92-F92</f>
        <v>-1711.0599999999995</v>
      </c>
      <c r="H92" s="13">
        <f>IF(F92&lt;&gt;0,G92/F92*100,0)</f>
        <v>-13.161999999999995</v>
      </c>
      <c r="J92">
        <v>2</v>
      </c>
      <c r="K92" t="s">
        <v>83</v>
      </c>
    </row>
    <row r="93" spans="3:11" ht="12.75">
      <c r="C93" t="s">
        <v>85</v>
      </c>
      <c r="D93" t="s">
        <v>84</v>
      </c>
      <c r="E93" s="8">
        <f>1*11288.94</f>
        <v>11288.94</v>
      </c>
      <c r="F93" s="8">
        <f>1*13000</f>
        <v>13000</v>
      </c>
      <c r="G93" s="12">
        <f>E93-F93</f>
        <v>-1711.0599999999995</v>
      </c>
      <c r="H93" s="13">
        <f>IF(F93&lt;&gt;0,G93/F93*100,0)</f>
        <v>-13.161999999999995</v>
      </c>
      <c r="J93">
        <v>2</v>
      </c>
      <c r="K93" t="s">
        <v>86</v>
      </c>
    </row>
    <row r="94" spans="3:11" ht="12.75">
      <c r="C94" t="s">
        <v>87</v>
      </c>
      <c r="D94" t="s">
        <v>88</v>
      </c>
      <c r="E94" s="8">
        <f>1*14719.05</f>
        <v>14719.05</v>
      </c>
      <c r="F94" s="8">
        <f>1*10000</f>
        <v>10000</v>
      </c>
      <c r="G94" s="14">
        <f>E94-F94</f>
        <v>4719.049999999999</v>
      </c>
      <c r="H94" s="15">
        <f>IF(F94&lt;&gt;0,G94/F94*100,0)</f>
        <v>47.19049999999999</v>
      </c>
      <c r="J94">
        <v>2</v>
      </c>
      <c r="K94" t="s">
        <v>87</v>
      </c>
    </row>
    <row r="95" spans="3:11" ht="12.75">
      <c r="C95" t="s">
        <v>89</v>
      </c>
      <c r="D95" t="s">
        <v>90</v>
      </c>
      <c r="E95" s="8">
        <f>1*57881.56</f>
        <v>57881.56</v>
      </c>
      <c r="F95" s="8">
        <f>1*29000</f>
        <v>29000</v>
      </c>
      <c r="G95" s="14">
        <f>E95-F95</f>
        <v>28881.559999999998</v>
      </c>
      <c r="H95" s="15">
        <f>IF(F95&lt;&gt;0,G95/F95*100,0)</f>
        <v>99.59158620689654</v>
      </c>
      <c r="J95">
        <v>2</v>
      </c>
      <c r="K95" t="s">
        <v>89</v>
      </c>
    </row>
    <row r="96" spans="3:11" ht="12.75">
      <c r="C96" t="s">
        <v>91</v>
      </c>
      <c r="D96" t="s">
        <v>92</v>
      </c>
      <c r="E96" s="8">
        <f>1*7415.74</f>
        <v>7415.74</v>
      </c>
      <c r="F96" s="8">
        <f>1*3000</f>
        <v>3000</v>
      </c>
      <c r="G96" s="14">
        <f>E96-F96</f>
        <v>4415.74</v>
      </c>
      <c r="H96" s="15">
        <f>IF(F96&lt;&gt;0,G96/F96*100,0)</f>
        <v>147.19133333333332</v>
      </c>
      <c r="J96">
        <v>2</v>
      </c>
      <c r="K96" t="s">
        <v>91</v>
      </c>
    </row>
    <row r="97" spans="3:11" ht="12.75">
      <c r="C97" t="s">
        <v>93</v>
      </c>
      <c r="D97" t="s">
        <v>95</v>
      </c>
      <c r="E97" s="8">
        <f>1*8861.06</f>
        <v>8861.06</v>
      </c>
      <c r="F97" s="8">
        <f>1*12000</f>
        <v>12000</v>
      </c>
      <c r="G97" s="12">
        <f>E97-F97</f>
        <v>-3138.9400000000005</v>
      </c>
      <c r="H97" s="13">
        <f>IF(F97&lt;&gt;0,G97/F97*100,0)</f>
        <v>-26.157833333333336</v>
      </c>
      <c r="J97">
        <v>2</v>
      </c>
      <c r="K97" t="s">
        <v>94</v>
      </c>
    </row>
    <row r="98" spans="3:11" ht="12.75">
      <c r="C98" t="s">
        <v>96</v>
      </c>
      <c r="D98" t="s">
        <v>95</v>
      </c>
      <c r="E98" s="8">
        <f>1*22562.89</f>
        <v>22562.89</v>
      </c>
      <c r="F98" s="8">
        <f>1*17000</f>
        <v>17000</v>
      </c>
      <c r="G98" s="14">
        <f>E98-F98</f>
        <v>5562.889999999999</v>
      </c>
      <c r="H98" s="15">
        <f>IF(F98&lt;&gt;0,G98/F98*100,0)</f>
        <v>32.72288235294118</v>
      </c>
      <c r="J98">
        <v>2</v>
      </c>
      <c r="K98" t="s">
        <v>97</v>
      </c>
    </row>
    <row r="99" spans="3:11" ht="12.75">
      <c r="C99" t="s">
        <v>98</v>
      </c>
      <c r="D99" t="s">
        <v>99</v>
      </c>
      <c r="E99" s="8">
        <f>1*10917.29</f>
        <v>10917.29</v>
      </c>
      <c r="F99" s="8">
        <f>1*7000</f>
        <v>7000</v>
      </c>
      <c r="G99" s="14">
        <f>E99-F99</f>
        <v>3917.290000000001</v>
      </c>
      <c r="H99" s="15">
        <f>IF(F99&lt;&gt;0,G99/F99*100,0)</f>
        <v>55.96128571428572</v>
      </c>
      <c r="J99">
        <v>2</v>
      </c>
      <c r="K99" t="s">
        <v>98</v>
      </c>
    </row>
    <row r="100" spans="3:11" ht="12.75">
      <c r="C100" t="s">
        <v>100</v>
      </c>
      <c r="D100" t="s">
        <v>102</v>
      </c>
      <c r="E100" s="8">
        <f>1*13126.65</f>
        <v>13126.65</v>
      </c>
      <c r="F100" s="8">
        <f>1*18000</f>
        <v>18000</v>
      </c>
      <c r="G100" s="12">
        <f>E100-F100</f>
        <v>-4873.35</v>
      </c>
      <c r="H100" s="13">
        <f>IF(F100&lt;&gt;0,G100/F100*100,0)</f>
        <v>-27.07416666666667</v>
      </c>
      <c r="J100">
        <v>2</v>
      </c>
      <c r="K100" t="s">
        <v>101</v>
      </c>
    </row>
    <row r="101" spans="3:11" ht="12.75">
      <c r="C101" t="s">
        <v>103</v>
      </c>
      <c r="D101" t="s">
        <v>102</v>
      </c>
      <c r="E101" s="8">
        <f>1*14482.93</f>
        <v>14482.93</v>
      </c>
      <c r="F101" s="8">
        <f>1*17000</f>
        <v>17000</v>
      </c>
      <c r="G101" s="12">
        <f>E101-F101</f>
        <v>-2517.0699999999997</v>
      </c>
      <c r="H101" s="13">
        <f>IF(F101&lt;&gt;0,G101/F101*100,0)</f>
        <v>-14.806294117647056</v>
      </c>
      <c r="J101">
        <v>2</v>
      </c>
      <c r="K101" t="s">
        <v>104</v>
      </c>
    </row>
    <row r="102" spans="3:11" ht="12.75">
      <c r="C102" t="s">
        <v>105</v>
      </c>
      <c r="D102" t="s">
        <v>106</v>
      </c>
      <c r="E102" s="8">
        <f>1*28322.56</f>
        <v>28322.56</v>
      </c>
      <c r="F102" s="8">
        <f>1*8000</f>
        <v>8000</v>
      </c>
      <c r="G102" s="14">
        <f>E102-F102</f>
        <v>20322.56</v>
      </c>
      <c r="H102" s="15">
        <f>IF(F102&lt;&gt;0,G102/F102*100,0)</f>
        <v>254.03200000000004</v>
      </c>
      <c r="J102">
        <v>2</v>
      </c>
      <c r="K102" t="s">
        <v>105</v>
      </c>
    </row>
    <row r="103" spans="3:11" ht="12.75">
      <c r="C103" t="s">
        <v>107</v>
      </c>
      <c r="D103" t="s">
        <v>108</v>
      </c>
      <c r="E103" s="8">
        <f>1*79386.51</f>
        <v>79386.51</v>
      </c>
      <c r="F103" s="8">
        <f>1*33000</f>
        <v>33000</v>
      </c>
      <c r="G103" s="14">
        <f>E103-F103</f>
        <v>46386.509999999995</v>
      </c>
      <c r="H103" s="15">
        <f>IF(F103&lt;&gt;0,G103/F103*100,0)</f>
        <v>140.5651818181818</v>
      </c>
      <c r="J103">
        <v>2</v>
      </c>
      <c r="K103" t="s">
        <v>107</v>
      </c>
    </row>
    <row r="104" spans="3:11" ht="12.75">
      <c r="C104" t="s">
        <v>109</v>
      </c>
      <c r="D104" t="s">
        <v>110</v>
      </c>
      <c r="E104" s="8">
        <f>1*67713.94</f>
        <v>67713.94</v>
      </c>
      <c r="F104" s="8">
        <f>1*44000</f>
        <v>44000</v>
      </c>
      <c r="G104" s="14">
        <f>E104-F104</f>
        <v>23713.940000000002</v>
      </c>
      <c r="H104" s="15">
        <f>IF(F104&lt;&gt;0,G104/F104*100,0)</f>
        <v>53.89531818181818</v>
      </c>
      <c r="J104">
        <v>2</v>
      </c>
      <c r="K104" t="s">
        <v>109</v>
      </c>
    </row>
    <row r="105" spans="3:11" ht="12.75">
      <c r="C105" t="s">
        <v>111</v>
      </c>
      <c r="D105" t="s">
        <v>112</v>
      </c>
      <c r="E105" s="8">
        <f>1*18395.66</f>
        <v>18395.66</v>
      </c>
      <c r="F105" s="8">
        <f>1*10000</f>
        <v>10000</v>
      </c>
      <c r="G105" s="14">
        <f>E105-F105</f>
        <v>8395.66</v>
      </c>
      <c r="H105" s="15">
        <f>IF(F105&lt;&gt;0,G105/F105*100,0)</f>
        <v>83.95660000000001</v>
      </c>
      <c r="J105">
        <v>2</v>
      </c>
      <c r="K105" t="s">
        <v>111</v>
      </c>
    </row>
    <row r="106" spans="3:11" ht="12.75">
      <c r="C106" t="s">
        <v>113</v>
      </c>
      <c r="D106" t="s">
        <v>114</v>
      </c>
      <c r="E106" s="8">
        <f>1*39824.88</f>
        <v>39824.88</v>
      </c>
      <c r="F106" s="8">
        <f>1*38000</f>
        <v>38000</v>
      </c>
      <c r="G106" s="14">
        <f>E106-F106</f>
        <v>1824.8799999999974</v>
      </c>
      <c r="H106" s="15">
        <f>IF(F106&lt;&gt;0,G106/F106*100,0)</f>
        <v>4.802315789473678</v>
      </c>
      <c r="J106">
        <v>2</v>
      </c>
      <c r="K106" t="s">
        <v>113</v>
      </c>
    </row>
    <row r="107" spans="3:11" ht="12.75">
      <c r="C107" t="s">
        <v>115</v>
      </c>
      <c r="D107" t="s">
        <v>116</v>
      </c>
      <c r="E107" s="8">
        <f>1*31510.24</f>
        <v>31510.24</v>
      </c>
      <c r="F107" s="8">
        <f>1*25000</f>
        <v>25000</v>
      </c>
      <c r="G107" s="14">
        <f>E107-F107</f>
        <v>6510.240000000002</v>
      </c>
      <c r="H107" s="15">
        <f>IF(F107&lt;&gt;0,G107/F107*100,0)</f>
        <v>26.04096000000001</v>
      </c>
      <c r="J107">
        <v>2</v>
      </c>
      <c r="K107" t="s">
        <v>115</v>
      </c>
    </row>
    <row r="108" spans="3:11" ht="12.75">
      <c r="C108" t="s">
        <v>117</v>
      </c>
      <c r="D108" t="s">
        <v>118</v>
      </c>
      <c r="E108" s="8">
        <f>1*10868.25</f>
        <v>10868.25</v>
      </c>
      <c r="F108" s="8">
        <f>1*12000</f>
        <v>12000</v>
      </c>
      <c r="G108" s="12">
        <f>E108-F108</f>
        <v>-1131.75</v>
      </c>
      <c r="H108" s="13">
        <f>IF(F108&lt;&gt;0,G108/F108*100,0)</f>
        <v>-9.431249999999999</v>
      </c>
      <c r="J108">
        <v>2</v>
      </c>
      <c r="K108" t="s">
        <v>117</v>
      </c>
    </row>
    <row r="109" spans="3:11" ht="12.75">
      <c r="C109" t="s">
        <v>119</v>
      </c>
      <c r="D109" t="s">
        <v>120</v>
      </c>
      <c r="E109" s="8">
        <f>1*47598.43</f>
        <v>47598.43</v>
      </c>
      <c r="F109" s="8">
        <f>1*18000</f>
        <v>18000</v>
      </c>
      <c r="G109" s="14">
        <f>E109-F109</f>
        <v>29598.43</v>
      </c>
      <c r="H109" s="15">
        <f>IF(F109&lt;&gt;0,G109/F109*100,0)</f>
        <v>164.43572222222224</v>
      </c>
      <c r="J109">
        <v>2</v>
      </c>
      <c r="K109" t="s">
        <v>119</v>
      </c>
    </row>
    <row r="110" spans="3:11" ht="12.75">
      <c r="C110" t="s">
        <v>121</v>
      </c>
      <c r="D110" t="s">
        <v>122</v>
      </c>
      <c r="E110" s="8">
        <f>1*15627.49</f>
        <v>15627.49</v>
      </c>
      <c r="F110" s="8">
        <f>1*15000</f>
        <v>15000</v>
      </c>
      <c r="G110" s="14">
        <f>E110-F110</f>
        <v>627.4899999999998</v>
      </c>
      <c r="H110" s="15">
        <f>IF(F110&lt;&gt;0,G110/F110*100,0)</f>
        <v>4.183266666666665</v>
      </c>
      <c r="J110">
        <v>2</v>
      </c>
      <c r="K110" t="s">
        <v>121</v>
      </c>
    </row>
    <row r="111" spans="3:11" ht="12.75">
      <c r="C111" t="s">
        <v>123</v>
      </c>
      <c r="D111" t="s">
        <v>122</v>
      </c>
      <c r="E111" s="8">
        <f>1*25843.6</f>
        <v>25843.6</v>
      </c>
      <c r="F111" s="8">
        <f>1*37000</f>
        <v>37000</v>
      </c>
      <c r="G111" s="12">
        <f>E111-F111</f>
        <v>-11156.400000000001</v>
      </c>
      <c r="H111" s="13">
        <f>IF(F111&lt;&gt;0,G111/F111*100,0)</f>
        <v>-30.152432432432434</v>
      </c>
      <c r="J111">
        <v>2</v>
      </c>
      <c r="K111" t="s">
        <v>124</v>
      </c>
    </row>
    <row r="112" spans="3:11" ht="12.75">
      <c r="C112" t="s">
        <v>125</v>
      </c>
      <c r="D112" t="s">
        <v>122</v>
      </c>
      <c r="E112" s="8">
        <f>1*19938.36</f>
        <v>19938.36</v>
      </c>
      <c r="F112" s="8">
        <f>1*15000</f>
        <v>15000</v>
      </c>
      <c r="G112" s="14">
        <f>E112-F112</f>
        <v>4938.360000000001</v>
      </c>
      <c r="H112" s="15">
        <f>IF(F112&lt;&gt;0,G112/F112*100,0)</f>
        <v>32.9224</v>
      </c>
      <c r="J112">
        <v>2</v>
      </c>
      <c r="K112" t="s">
        <v>126</v>
      </c>
    </row>
    <row r="113" spans="3:11" ht="12.75">
      <c r="C113" t="s">
        <v>127</v>
      </c>
      <c r="D113" t="s">
        <v>128</v>
      </c>
      <c r="E113" s="8">
        <f>1*5562.57</f>
        <v>5562.57</v>
      </c>
      <c r="F113" s="8">
        <f>1*5000</f>
        <v>5000</v>
      </c>
      <c r="G113" s="14">
        <f>E113-F113</f>
        <v>562.5699999999997</v>
      </c>
      <c r="H113" s="15">
        <f>IF(F113&lt;&gt;0,G113/F113*100,0)</f>
        <v>11.251399999999995</v>
      </c>
      <c r="J113">
        <v>2</v>
      </c>
      <c r="K113" t="s">
        <v>127</v>
      </c>
    </row>
    <row r="114" spans="3:11" ht="12.75">
      <c r="C114" t="s">
        <v>129</v>
      </c>
      <c r="D114" t="s">
        <v>128</v>
      </c>
      <c r="E114" s="8">
        <f>1*6316.32</f>
        <v>6316.32</v>
      </c>
      <c r="F114" s="8">
        <f>1*12000</f>
        <v>12000</v>
      </c>
      <c r="G114" s="12">
        <f>E114-F114</f>
        <v>-5683.68</v>
      </c>
      <c r="H114" s="13">
        <f>IF(F114&lt;&gt;0,G114/F114*100,0)</f>
        <v>-47.364</v>
      </c>
      <c r="J114">
        <v>2</v>
      </c>
      <c r="K114" t="s">
        <v>130</v>
      </c>
    </row>
    <row r="115" spans="3:11" ht="12.75">
      <c r="C115" t="s">
        <v>131</v>
      </c>
      <c r="D115" t="s">
        <v>128</v>
      </c>
      <c r="E115" s="8">
        <f>1*14308.2</f>
        <v>14308.2</v>
      </c>
      <c r="F115" s="8">
        <f>1*12000</f>
        <v>12000</v>
      </c>
      <c r="G115" s="14">
        <f>E115-F115</f>
        <v>2308.2000000000007</v>
      </c>
      <c r="H115" s="15">
        <f>IF(F115&lt;&gt;0,G115/F115*100,0)</f>
        <v>19.235000000000007</v>
      </c>
      <c r="J115">
        <v>2</v>
      </c>
      <c r="K115" t="s">
        <v>132</v>
      </c>
    </row>
    <row r="116" spans="3:11" ht="12.75">
      <c r="C116" t="s">
        <v>133</v>
      </c>
      <c r="D116" t="s">
        <v>135</v>
      </c>
      <c r="E116" s="8">
        <f>1*0</f>
        <v>0</v>
      </c>
      <c r="F116" s="8">
        <f>1*54000</f>
        <v>54000</v>
      </c>
      <c r="G116" s="12">
        <f>E116-F116</f>
        <v>-54000</v>
      </c>
      <c r="H116" s="13">
        <f>IF(F116&lt;&gt;0,G116/F116*100,0)</f>
        <v>-100</v>
      </c>
      <c r="J116">
        <v>2</v>
      </c>
      <c r="K116" t="s">
        <v>134</v>
      </c>
    </row>
    <row r="117" spans="3:11" ht="12.75">
      <c r="C117" t="s">
        <v>136</v>
      </c>
      <c r="D117" t="s">
        <v>135</v>
      </c>
      <c r="E117" s="8">
        <f>1*145665.35</f>
        <v>145665.35</v>
      </c>
      <c r="F117" s="8">
        <f>1*125000</f>
        <v>125000</v>
      </c>
      <c r="G117" s="14">
        <f>E117-F117</f>
        <v>20665.350000000006</v>
      </c>
      <c r="H117" s="15">
        <f>IF(F117&lt;&gt;0,G117/F117*100,0)</f>
        <v>16.532280000000004</v>
      </c>
      <c r="J117">
        <v>2</v>
      </c>
      <c r="K117" t="s">
        <v>137</v>
      </c>
    </row>
    <row r="118" spans="3:11" ht="12.75">
      <c r="C118" t="s">
        <v>138</v>
      </c>
      <c r="D118" t="s">
        <v>140</v>
      </c>
      <c r="E118" s="8">
        <f>1*11998.95</f>
        <v>11998.95</v>
      </c>
      <c r="F118" s="8">
        <f>1*14000</f>
        <v>14000</v>
      </c>
      <c r="G118" s="12">
        <f>E118-F118</f>
        <v>-2001.0499999999993</v>
      </c>
      <c r="H118" s="13">
        <f>IF(F118&lt;&gt;0,G118/F118*100,0)</f>
        <v>-14.293214285714281</v>
      </c>
      <c r="J118">
        <v>2</v>
      </c>
      <c r="K118" t="s">
        <v>139</v>
      </c>
    </row>
    <row r="119" spans="3:11" ht="12.75">
      <c r="C119" t="s">
        <v>141</v>
      </c>
      <c r="D119" t="s">
        <v>140</v>
      </c>
      <c r="E119" s="8">
        <f>1*14181.92</f>
        <v>14181.92</v>
      </c>
      <c r="F119" s="8">
        <f>1*16000</f>
        <v>16000</v>
      </c>
      <c r="G119" s="12">
        <f>E119-F119</f>
        <v>-1818.08</v>
      </c>
      <c r="H119" s="13">
        <f>IF(F119&lt;&gt;0,G119/F119*100,0)</f>
        <v>-11.363</v>
      </c>
      <c r="J119">
        <v>2</v>
      </c>
      <c r="K119" t="s">
        <v>142</v>
      </c>
    </row>
    <row r="120" spans="3:11" ht="12.75">
      <c r="C120" t="s">
        <v>143</v>
      </c>
      <c r="D120" t="s">
        <v>144</v>
      </c>
      <c r="E120" s="8">
        <f>1*19651.95</f>
        <v>19651.95</v>
      </c>
      <c r="F120" s="8">
        <f>1*16000</f>
        <v>16000</v>
      </c>
      <c r="G120" s="14">
        <f>E120-F120</f>
        <v>3651.9500000000007</v>
      </c>
      <c r="H120" s="15">
        <f>IF(F120&lt;&gt;0,G120/F120*100,0)</f>
        <v>22.824687500000003</v>
      </c>
      <c r="J120">
        <v>2</v>
      </c>
      <c r="K120" t="s">
        <v>143</v>
      </c>
    </row>
    <row r="121" ht="12.75">
      <c r="J121">
        <v>2.1</v>
      </c>
    </row>
    <row r="122" spans="1:11" ht="12.75">
      <c r="A122" t="s">
        <v>14</v>
      </c>
      <c r="B122" s="10">
        <v>43921</v>
      </c>
      <c r="C122" t="s">
        <v>11</v>
      </c>
      <c r="D122" t="s">
        <v>12</v>
      </c>
      <c r="E122" s="8">
        <f>-1*-374643.03</f>
        <v>374643.03</v>
      </c>
      <c r="F122" s="8">
        <f>-1*-300000</f>
        <v>300000</v>
      </c>
      <c r="G122" s="14">
        <f>E122-F122</f>
        <v>74643.03000000003</v>
      </c>
      <c r="H122" s="15">
        <f>IF(F122&lt;&gt;0,G122/F122*100,0)</f>
        <v>24.88101000000001</v>
      </c>
      <c r="J122">
        <v>3</v>
      </c>
      <c r="K122" t="s">
        <v>11</v>
      </c>
    </row>
    <row r="123" spans="3:11" ht="12.75">
      <c r="C123" t="s">
        <v>24</v>
      </c>
      <c r="D123" t="s">
        <v>12</v>
      </c>
      <c r="E123" s="8">
        <f>-1*-393288.66</f>
        <v>393288.66</v>
      </c>
      <c r="F123" s="8">
        <f>-1*-82000</f>
        <v>82000</v>
      </c>
      <c r="G123" s="14">
        <f>E123-F123</f>
        <v>311288.66</v>
      </c>
      <c r="H123" s="15">
        <f>IF(F123&lt;&gt;0,G123/F123*100,0)</f>
        <v>379.6203170731707</v>
      </c>
      <c r="J123">
        <v>3</v>
      </c>
      <c r="K123" t="s">
        <v>25</v>
      </c>
    </row>
    <row r="124" spans="3:11" ht="12.75">
      <c r="C124" t="s">
        <v>26</v>
      </c>
      <c r="D124" t="s">
        <v>12</v>
      </c>
      <c r="E124" s="8">
        <f>-1*-193599.45</f>
        <v>193599.45</v>
      </c>
      <c r="F124" s="8">
        <f>-1*-186000</f>
        <v>186000</v>
      </c>
      <c r="G124" s="14">
        <f>E124-F124</f>
        <v>7599.450000000012</v>
      </c>
      <c r="H124" s="15">
        <f>IF(F124&lt;&gt;0,G124/F124*100,0)</f>
        <v>4.085725806451619</v>
      </c>
      <c r="J124">
        <v>3</v>
      </c>
      <c r="K124" t="s">
        <v>27</v>
      </c>
    </row>
    <row r="125" spans="3:11" ht="12.75">
      <c r="C125" t="s">
        <v>28</v>
      </c>
      <c r="D125" t="s">
        <v>30</v>
      </c>
      <c r="E125" s="8">
        <f>-1*-7664.59</f>
        <v>7664.59</v>
      </c>
      <c r="F125" s="8">
        <f>-1*-5000</f>
        <v>5000</v>
      </c>
      <c r="G125" s="14">
        <f>E125-F125</f>
        <v>2664.59</v>
      </c>
      <c r="H125" s="15">
        <f>IF(F125&lt;&gt;0,G125/F125*100,0)</f>
        <v>53.2918</v>
      </c>
      <c r="J125">
        <v>3</v>
      </c>
      <c r="K125" t="s">
        <v>29</v>
      </c>
    </row>
    <row r="126" spans="3:11" ht="12.75">
      <c r="C126" t="s">
        <v>31</v>
      </c>
      <c r="D126" t="s">
        <v>30</v>
      </c>
      <c r="E126" s="8">
        <f>-1*-16845</f>
        <v>16845</v>
      </c>
      <c r="F126" s="8">
        <f>-1*-7000</f>
        <v>7000</v>
      </c>
      <c r="G126" s="14">
        <f>E126-F126</f>
        <v>9845</v>
      </c>
      <c r="H126" s="15">
        <f>IF(F126&lt;&gt;0,G126/F126*100,0)</f>
        <v>140.64285714285714</v>
      </c>
      <c r="J126">
        <v>3</v>
      </c>
      <c r="K126" t="s">
        <v>32</v>
      </c>
    </row>
    <row r="127" spans="3:11" ht="12.75">
      <c r="C127" t="s">
        <v>33</v>
      </c>
      <c r="D127" t="s">
        <v>30</v>
      </c>
      <c r="E127" s="8">
        <f>-1*-1978.78</f>
        <v>1978.78</v>
      </c>
      <c r="F127" s="8">
        <f>-1*-2000</f>
        <v>2000</v>
      </c>
      <c r="G127" s="12">
        <f>E127-F127</f>
        <v>-21.220000000000027</v>
      </c>
      <c r="H127" s="13">
        <f>IF(F127&lt;&gt;0,G127/F127*100,0)</f>
        <v>-1.0610000000000013</v>
      </c>
      <c r="J127">
        <v>3</v>
      </c>
      <c r="K127" t="s">
        <v>34</v>
      </c>
    </row>
    <row r="128" spans="3:11" ht="12.75">
      <c r="C128" t="s">
        <v>35</v>
      </c>
      <c r="D128" t="s">
        <v>30</v>
      </c>
      <c r="E128" s="8">
        <f>-1*-2355.75</f>
        <v>2355.75</v>
      </c>
      <c r="F128" s="8">
        <f>-1*-2000</f>
        <v>2000</v>
      </c>
      <c r="G128" s="14">
        <f>E128-F128</f>
        <v>355.75</v>
      </c>
      <c r="H128" s="15">
        <f>IF(F128&lt;&gt;0,G128/F128*100,0)</f>
        <v>17.7875</v>
      </c>
      <c r="J128">
        <v>3</v>
      </c>
      <c r="K128" t="s">
        <v>36</v>
      </c>
    </row>
    <row r="129" spans="3:11" ht="12.75">
      <c r="C129" t="s">
        <v>37</v>
      </c>
      <c r="D129" t="s">
        <v>30</v>
      </c>
      <c r="E129" s="8">
        <f>-1*-6062.06</f>
        <v>6062.06</v>
      </c>
      <c r="F129" s="8">
        <f>-1*-6000</f>
        <v>6000</v>
      </c>
      <c r="G129" s="14">
        <f>E129-F129</f>
        <v>62.0600000000004</v>
      </c>
      <c r="H129" s="15">
        <f>IF(F129&lt;&gt;0,G129/F129*100,0)</f>
        <v>1.03433333333334</v>
      </c>
      <c r="J129">
        <v>3</v>
      </c>
      <c r="K129" t="s">
        <v>38</v>
      </c>
    </row>
    <row r="130" spans="3:11" ht="12.75">
      <c r="C130" t="s">
        <v>39</v>
      </c>
      <c r="D130" t="s">
        <v>30</v>
      </c>
      <c r="E130" s="8">
        <f>-1*-6570.92</f>
        <v>6570.92</v>
      </c>
      <c r="F130" s="8">
        <f>-1*-6000</f>
        <v>6000</v>
      </c>
      <c r="G130" s="14">
        <f>E130-F130</f>
        <v>570.9200000000001</v>
      </c>
      <c r="H130" s="15">
        <f>IF(F130&lt;&gt;0,G130/F130*100,0)</f>
        <v>9.515333333333334</v>
      </c>
      <c r="J130">
        <v>3</v>
      </c>
      <c r="K130" t="s">
        <v>40</v>
      </c>
    </row>
    <row r="131" spans="3:11" ht="12.75">
      <c r="C131" t="s">
        <v>41</v>
      </c>
      <c r="D131" t="s">
        <v>30</v>
      </c>
      <c r="E131" s="8">
        <f>-1*-3836.03</f>
        <v>3836.03</v>
      </c>
      <c r="F131" s="8">
        <f>-1*-3000</f>
        <v>3000</v>
      </c>
      <c r="G131" s="14">
        <f>E131-F131</f>
        <v>836.0300000000002</v>
      </c>
      <c r="H131" s="15">
        <f>IF(F131&lt;&gt;0,G131/F131*100,0)</f>
        <v>27.867666666666675</v>
      </c>
      <c r="J131">
        <v>3</v>
      </c>
      <c r="K131" t="s">
        <v>42</v>
      </c>
    </row>
    <row r="132" spans="3:11" ht="12.75">
      <c r="C132" t="s">
        <v>43</v>
      </c>
      <c r="D132" t="s">
        <v>30</v>
      </c>
      <c r="E132" s="8">
        <f>-1*-3307.65</f>
        <v>3307.65</v>
      </c>
      <c r="F132" s="8">
        <f>-1*-3000</f>
        <v>3000</v>
      </c>
      <c r="G132" s="14">
        <f>E132-F132</f>
        <v>307.6500000000001</v>
      </c>
      <c r="H132" s="15">
        <f>IF(F132&lt;&gt;0,G132/F132*100,0)</f>
        <v>10.255000000000003</v>
      </c>
      <c r="J132">
        <v>3</v>
      </c>
      <c r="K132" t="s">
        <v>44</v>
      </c>
    </row>
    <row r="133" spans="3:11" ht="12.75">
      <c r="C133" t="s">
        <v>45</v>
      </c>
      <c r="D133" t="s">
        <v>46</v>
      </c>
      <c r="E133" s="8">
        <f>-1*-82491.87</f>
        <v>82491.87</v>
      </c>
      <c r="F133" s="8">
        <f>-1*-16000</f>
        <v>16000</v>
      </c>
      <c r="G133" s="14">
        <f>E133-F133</f>
        <v>66491.87</v>
      </c>
      <c r="H133" s="15">
        <f>IF(F133&lt;&gt;0,G133/F133*100,0)</f>
        <v>415.57418749999994</v>
      </c>
      <c r="J133">
        <v>3</v>
      </c>
      <c r="K133" t="s">
        <v>45</v>
      </c>
    </row>
    <row r="134" spans="3:11" ht="12.75">
      <c r="C134" t="s">
        <v>47</v>
      </c>
      <c r="D134" t="s">
        <v>48</v>
      </c>
      <c r="E134" s="8">
        <f>-1*-266119.02</f>
        <v>266119.02</v>
      </c>
      <c r="F134" s="8">
        <f>-1*-47000</f>
        <v>47000</v>
      </c>
      <c r="G134" s="14">
        <f>E134-F134</f>
        <v>219119.02000000002</v>
      </c>
      <c r="H134" s="15">
        <f>IF(F134&lt;&gt;0,G134/F134*100,0)</f>
        <v>466.21068085106384</v>
      </c>
      <c r="J134">
        <v>3</v>
      </c>
      <c r="K134" t="s">
        <v>47</v>
      </c>
    </row>
    <row r="135" spans="3:11" ht="12.75">
      <c r="C135" t="s">
        <v>49</v>
      </c>
      <c r="D135" t="s">
        <v>50</v>
      </c>
      <c r="E135" s="8">
        <f>-1*-208802.13</f>
        <v>208802.13</v>
      </c>
      <c r="F135" s="8">
        <f>-1*-28000</f>
        <v>28000</v>
      </c>
      <c r="G135" s="14">
        <f>E135-F135</f>
        <v>180802.13</v>
      </c>
      <c r="H135" s="15">
        <f>IF(F135&lt;&gt;0,G135/F135*100,0)</f>
        <v>645.7218928571428</v>
      </c>
      <c r="J135">
        <v>3</v>
      </c>
      <c r="K135" t="s">
        <v>49</v>
      </c>
    </row>
    <row r="136" spans="3:11" ht="12.75">
      <c r="C136" t="s">
        <v>51</v>
      </c>
      <c r="D136" t="s">
        <v>52</v>
      </c>
      <c r="E136" s="8">
        <f>-1*-360537.04</f>
        <v>360537.04</v>
      </c>
      <c r="F136" s="8">
        <f>-1*-60000</f>
        <v>60000</v>
      </c>
      <c r="G136" s="14">
        <f>E136-F136</f>
        <v>300537.04</v>
      </c>
      <c r="H136" s="15">
        <f>IF(F136&lt;&gt;0,G136/F136*100,0)</f>
        <v>500.89506666666665</v>
      </c>
      <c r="J136">
        <v>3</v>
      </c>
      <c r="K136" t="s">
        <v>51</v>
      </c>
    </row>
    <row r="137" spans="3:11" ht="12.75">
      <c r="C137" t="s">
        <v>53</v>
      </c>
      <c r="D137" t="s">
        <v>54</v>
      </c>
      <c r="E137" s="8">
        <f>-1*-67078.8</f>
        <v>67078.8</v>
      </c>
      <c r="F137" s="8">
        <f>-1*-16000</f>
        <v>16000</v>
      </c>
      <c r="G137" s="14">
        <f>E137-F137</f>
        <v>51078.8</v>
      </c>
      <c r="H137" s="15">
        <f>IF(F137&lt;&gt;0,G137/F137*100,0)</f>
        <v>319.2425</v>
      </c>
      <c r="J137">
        <v>3</v>
      </c>
      <c r="K137" t="s">
        <v>53</v>
      </c>
    </row>
    <row r="138" spans="3:11" ht="12.75">
      <c r="C138" t="s">
        <v>55</v>
      </c>
      <c r="D138" t="s">
        <v>56</v>
      </c>
      <c r="E138" s="8">
        <f>1*8900.5</f>
        <v>8900.5</v>
      </c>
      <c r="F138" s="8">
        <f>1*10000</f>
        <v>10000</v>
      </c>
      <c r="G138" s="12">
        <f>E138-F138</f>
        <v>-1099.5</v>
      </c>
      <c r="H138" s="13">
        <f>IF(F138&lt;&gt;0,G138/F138*100,0)</f>
        <v>-10.995000000000001</v>
      </c>
      <c r="J138">
        <v>3</v>
      </c>
      <c r="K138" t="s">
        <v>55</v>
      </c>
    </row>
    <row r="139" spans="3:11" ht="12.75">
      <c r="C139" t="s">
        <v>57</v>
      </c>
      <c r="D139" t="s">
        <v>58</v>
      </c>
      <c r="E139" s="8">
        <f>1*69685.49</f>
        <v>69685.49</v>
      </c>
      <c r="F139" s="8">
        <f>1*67000</f>
        <v>67000</v>
      </c>
      <c r="G139" s="14">
        <f>E139-F139</f>
        <v>2685.4900000000052</v>
      </c>
      <c r="H139" s="15">
        <f>IF(F139&lt;&gt;0,G139/F139*100,0)</f>
        <v>4.008194029850754</v>
      </c>
      <c r="J139">
        <v>3</v>
      </c>
      <c r="K139" t="s">
        <v>57</v>
      </c>
    </row>
    <row r="140" spans="3:11" ht="12.75">
      <c r="C140" t="s">
        <v>59</v>
      </c>
      <c r="D140" t="s">
        <v>60</v>
      </c>
      <c r="E140" s="8">
        <f>1*12726.42</f>
        <v>12726.42</v>
      </c>
      <c r="F140" s="8">
        <f>1*15000</f>
        <v>15000</v>
      </c>
      <c r="G140" s="12">
        <f>E140-F140</f>
        <v>-2273.58</v>
      </c>
      <c r="H140" s="13">
        <f>IF(F140&lt;&gt;0,G140/F140*100,0)</f>
        <v>-15.157199999999998</v>
      </c>
      <c r="J140">
        <v>3</v>
      </c>
      <c r="K140" t="s">
        <v>59</v>
      </c>
    </row>
    <row r="141" spans="3:11" ht="12.75">
      <c r="C141" t="s">
        <v>61</v>
      </c>
      <c r="D141" t="s">
        <v>60</v>
      </c>
      <c r="E141" s="8">
        <f>1*8268.26</f>
        <v>8268.26</v>
      </c>
      <c r="F141" s="8">
        <f>1*8000</f>
        <v>8000</v>
      </c>
      <c r="G141" s="14">
        <f>E141-F141</f>
        <v>268.2600000000002</v>
      </c>
      <c r="H141" s="15">
        <f>IF(F141&lt;&gt;0,G141/F141*100,0)</f>
        <v>3.3532500000000027</v>
      </c>
      <c r="J141">
        <v>3</v>
      </c>
      <c r="K141" t="s">
        <v>62</v>
      </c>
    </row>
    <row r="142" spans="3:11" ht="12.75">
      <c r="C142" t="s">
        <v>63</v>
      </c>
      <c r="D142" t="s">
        <v>60</v>
      </c>
      <c r="E142" s="8">
        <f>1*8364.9</f>
        <v>8364.9</v>
      </c>
      <c r="F142" s="8">
        <f>1*12000</f>
        <v>12000</v>
      </c>
      <c r="G142" s="12">
        <f>E142-F142</f>
        <v>-3635.1000000000004</v>
      </c>
      <c r="H142" s="13">
        <f>IF(F142&lt;&gt;0,G142/F142*100,0)</f>
        <v>-30.292500000000004</v>
      </c>
      <c r="J142">
        <v>3</v>
      </c>
      <c r="K142" t="s">
        <v>64</v>
      </c>
    </row>
    <row r="143" spans="3:11" ht="12.75">
      <c r="C143" t="s">
        <v>65</v>
      </c>
      <c r="D143" t="s">
        <v>66</v>
      </c>
      <c r="E143" s="8">
        <f>1*45149.19</f>
        <v>45149.19</v>
      </c>
      <c r="F143" s="8">
        <f>1*50000</f>
        <v>50000</v>
      </c>
      <c r="G143" s="12">
        <f>E143-F143</f>
        <v>-4850.809999999998</v>
      </c>
      <c r="H143" s="13">
        <f>IF(F143&lt;&gt;0,G143/F143*100,0)</f>
        <v>-9.701619999999995</v>
      </c>
      <c r="J143">
        <v>3</v>
      </c>
      <c r="K143" t="s">
        <v>65</v>
      </c>
    </row>
    <row r="144" spans="3:11" ht="12.75">
      <c r="C144" t="s">
        <v>67</v>
      </c>
      <c r="D144" t="s">
        <v>66</v>
      </c>
      <c r="E144" s="8">
        <f>1*0</f>
        <v>0</v>
      </c>
      <c r="F144" s="8">
        <f>1*26000</f>
        <v>26000</v>
      </c>
      <c r="G144" s="12">
        <f>E144-F144</f>
        <v>-26000</v>
      </c>
      <c r="H144" s="13">
        <f>IF(F144&lt;&gt;0,G144/F144*100,0)</f>
        <v>-100</v>
      </c>
      <c r="J144">
        <v>3</v>
      </c>
      <c r="K144" t="s">
        <v>68</v>
      </c>
    </row>
    <row r="145" spans="3:11" ht="12.75">
      <c r="C145" t="s">
        <v>69</v>
      </c>
      <c r="D145" t="s">
        <v>66</v>
      </c>
      <c r="E145" s="8">
        <f>1*37708.7</f>
        <v>37708.7</v>
      </c>
      <c r="F145" s="8">
        <f>1*14000</f>
        <v>14000</v>
      </c>
      <c r="G145" s="14">
        <f>E145-F145</f>
        <v>23708.699999999997</v>
      </c>
      <c r="H145" s="15">
        <f>IF(F145&lt;&gt;0,G145/F145*100,0)</f>
        <v>169.34785714285712</v>
      </c>
      <c r="J145">
        <v>3</v>
      </c>
      <c r="K145" t="s">
        <v>70</v>
      </c>
    </row>
    <row r="146" spans="3:11" ht="12.75">
      <c r="C146" t="s">
        <v>71</v>
      </c>
      <c r="D146" t="s">
        <v>72</v>
      </c>
      <c r="E146" s="8">
        <f>1*23217.77</f>
        <v>23217.77</v>
      </c>
      <c r="F146" s="8">
        <f>1*13000</f>
        <v>13000</v>
      </c>
      <c r="G146" s="14">
        <f>E146-F146</f>
        <v>10217.77</v>
      </c>
      <c r="H146" s="15">
        <f>IF(F146&lt;&gt;0,G146/F146*100,0)</f>
        <v>78.59823076923077</v>
      </c>
      <c r="J146">
        <v>3</v>
      </c>
      <c r="K146" t="s">
        <v>71</v>
      </c>
    </row>
    <row r="147" spans="3:11" ht="12.75">
      <c r="C147" t="s">
        <v>73</v>
      </c>
      <c r="D147" t="s">
        <v>74</v>
      </c>
      <c r="E147" s="8">
        <f>1*6234.15</f>
        <v>6234.15</v>
      </c>
      <c r="F147" s="8">
        <f>1*3000</f>
        <v>3000</v>
      </c>
      <c r="G147" s="14">
        <f>E147-F147</f>
        <v>3234.1499999999996</v>
      </c>
      <c r="H147" s="15">
        <f>IF(F147&lt;&gt;0,G147/F147*100,0)</f>
        <v>107.80499999999999</v>
      </c>
      <c r="J147">
        <v>3</v>
      </c>
      <c r="K147" t="s">
        <v>73</v>
      </c>
    </row>
    <row r="148" spans="3:11" ht="12.75">
      <c r="C148" t="s">
        <v>75</v>
      </c>
      <c r="D148" t="s">
        <v>77</v>
      </c>
      <c r="E148" s="8">
        <f>1*2041.84</f>
        <v>2041.84</v>
      </c>
      <c r="F148" s="8">
        <f>1*12000</f>
        <v>12000</v>
      </c>
      <c r="G148" s="12">
        <f>E148-F148</f>
        <v>-9958.16</v>
      </c>
      <c r="H148" s="13">
        <f>IF(F148&lt;&gt;0,G148/F148*100,0)</f>
        <v>-82.98466666666667</v>
      </c>
      <c r="J148">
        <v>3</v>
      </c>
      <c r="K148" t="s">
        <v>76</v>
      </c>
    </row>
    <row r="149" spans="3:11" ht="12.75">
      <c r="C149" t="s">
        <v>78</v>
      </c>
      <c r="D149" t="s">
        <v>77</v>
      </c>
      <c r="E149" s="8">
        <f>1*5257.01</f>
        <v>5257.01</v>
      </c>
      <c r="F149" s="8">
        <f>1*10000</f>
        <v>10000</v>
      </c>
      <c r="G149" s="12">
        <f>E149-F149</f>
        <v>-4742.99</v>
      </c>
      <c r="H149" s="13">
        <f>IF(F149&lt;&gt;0,G149/F149*100,0)</f>
        <v>-47.429899999999996</v>
      </c>
      <c r="J149">
        <v>3</v>
      </c>
      <c r="K149" t="s">
        <v>79</v>
      </c>
    </row>
    <row r="150" spans="3:11" ht="12.75">
      <c r="C150" t="s">
        <v>80</v>
      </c>
      <c r="D150" t="s">
        <v>81</v>
      </c>
      <c r="E150" s="8">
        <f>1*29802.78</f>
        <v>29802.78</v>
      </c>
      <c r="F150" s="8">
        <f>1*16000</f>
        <v>16000</v>
      </c>
      <c r="G150" s="14">
        <f>E150-F150</f>
        <v>13802.779999999999</v>
      </c>
      <c r="H150" s="15">
        <f>IF(F150&lt;&gt;0,G150/F150*100,0)</f>
        <v>86.26737499999999</v>
      </c>
      <c r="J150">
        <v>3</v>
      </c>
      <c r="K150" t="s">
        <v>80</v>
      </c>
    </row>
    <row r="151" spans="3:11" ht="12.75">
      <c r="C151" t="s">
        <v>82</v>
      </c>
      <c r="D151" t="s">
        <v>84</v>
      </c>
      <c r="E151" s="8">
        <f>1*12417.83</f>
        <v>12417.83</v>
      </c>
      <c r="F151" s="8">
        <f>1*13000</f>
        <v>13000</v>
      </c>
      <c r="G151" s="12">
        <f>E151-F151</f>
        <v>-582.1700000000001</v>
      </c>
      <c r="H151" s="13">
        <f>IF(F151&lt;&gt;0,G151/F151*100,0)</f>
        <v>-4.47823076923077</v>
      </c>
      <c r="J151">
        <v>3</v>
      </c>
      <c r="K151" t="s">
        <v>83</v>
      </c>
    </row>
    <row r="152" spans="3:11" ht="12.75">
      <c r="C152" t="s">
        <v>85</v>
      </c>
      <c r="D152" t="s">
        <v>84</v>
      </c>
      <c r="E152" s="8">
        <f>1*12417.83</f>
        <v>12417.83</v>
      </c>
      <c r="F152" s="8">
        <f>1*13000</f>
        <v>13000</v>
      </c>
      <c r="G152" s="12">
        <f>E152-F152</f>
        <v>-582.1700000000001</v>
      </c>
      <c r="H152" s="13">
        <f>IF(F152&lt;&gt;0,G152/F152*100,0)</f>
        <v>-4.47823076923077</v>
      </c>
      <c r="J152">
        <v>3</v>
      </c>
      <c r="K152" t="s">
        <v>86</v>
      </c>
    </row>
    <row r="153" spans="3:11" ht="12.75">
      <c r="C153" t="s">
        <v>87</v>
      </c>
      <c r="D153" t="s">
        <v>88</v>
      </c>
      <c r="E153" s="8">
        <f>1*14208.05</f>
        <v>14208.05</v>
      </c>
      <c r="F153" s="8">
        <f>1*10000</f>
        <v>10000</v>
      </c>
      <c r="G153" s="14">
        <f>E153-F153</f>
        <v>4208.049999999999</v>
      </c>
      <c r="H153" s="15">
        <f>IF(F153&lt;&gt;0,G153/F153*100,0)</f>
        <v>42.080499999999994</v>
      </c>
      <c r="J153">
        <v>3</v>
      </c>
      <c r="K153" t="s">
        <v>87</v>
      </c>
    </row>
    <row r="154" spans="3:11" ht="12.75">
      <c r="C154" t="s">
        <v>89</v>
      </c>
      <c r="D154" t="s">
        <v>90</v>
      </c>
      <c r="E154" s="8">
        <f>1*52876.61</f>
        <v>52876.61</v>
      </c>
      <c r="F154" s="8">
        <f>1*29000</f>
        <v>29000</v>
      </c>
      <c r="G154" s="14">
        <f>E154-F154</f>
        <v>23876.61</v>
      </c>
      <c r="H154" s="15">
        <f>IF(F154&lt;&gt;0,G154/F154*100,0)</f>
        <v>82.33313793103449</v>
      </c>
      <c r="J154">
        <v>3</v>
      </c>
      <c r="K154" t="s">
        <v>89</v>
      </c>
    </row>
    <row r="155" spans="3:11" ht="12.75">
      <c r="C155" t="s">
        <v>91</v>
      </c>
      <c r="D155" t="s">
        <v>92</v>
      </c>
      <c r="E155" s="8">
        <f>1*5952.96</f>
        <v>5952.96</v>
      </c>
      <c r="F155" s="8">
        <f>1*3000</f>
        <v>3000</v>
      </c>
      <c r="G155" s="14">
        <f>E155-F155</f>
        <v>2952.96</v>
      </c>
      <c r="H155" s="15">
        <f>IF(F155&lt;&gt;0,G155/F155*100,0)</f>
        <v>98.432</v>
      </c>
      <c r="J155">
        <v>3</v>
      </c>
      <c r="K155" t="s">
        <v>91</v>
      </c>
    </row>
    <row r="156" spans="3:11" ht="12.75">
      <c r="C156" t="s">
        <v>93</v>
      </c>
      <c r="D156" t="s">
        <v>95</v>
      </c>
      <c r="E156" s="8">
        <f>1*8919.84</f>
        <v>8919.84</v>
      </c>
      <c r="F156" s="8">
        <f>1*12000</f>
        <v>12000</v>
      </c>
      <c r="G156" s="12">
        <f>E156-F156</f>
        <v>-3080.16</v>
      </c>
      <c r="H156" s="13">
        <f>IF(F156&lt;&gt;0,G156/F156*100,0)</f>
        <v>-25.667999999999996</v>
      </c>
      <c r="J156">
        <v>3</v>
      </c>
      <c r="K156" t="s">
        <v>94</v>
      </c>
    </row>
    <row r="157" spans="3:11" ht="12.75">
      <c r="C157" t="s">
        <v>96</v>
      </c>
      <c r="D157" t="s">
        <v>95</v>
      </c>
      <c r="E157" s="8">
        <f>1*21610.23</f>
        <v>21610.23</v>
      </c>
      <c r="F157" s="8">
        <f>1*17000</f>
        <v>17000</v>
      </c>
      <c r="G157" s="14">
        <f>E157-F157</f>
        <v>4610.23</v>
      </c>
      <c r="H157" s="15">
        <f>IF(F157&lt;&gt;0,G157/F157*100,0)</f>
        <v>27.119</v>
      </c>
      <c r="J157">
        <v>3</v>
      </c>
      <c r="K157" t="s">
        <v>97</v>
      </c>
    </row>
    <row r="158" spans="3:11" ht="12.75">
      <c r="C158" t="s">
        <v>98</v>
      </c>
      <c r="D158" t="s">
        <v>99</v>
      </c>
      <c r="E158" s="8">
        <f>1*10868.16</f>
        <v>10868.16</v>
      </c>
      <c r="F158" s="8">
        <f>1*7000</f>
        <v>7000</v>
      </c>
      <c r="G158" s="14">
        <f>E158-F158</f>
        <v>3868.16</v>
      </c>
      <c r="H158" s="15">
        <f>IF(F158&lt;&gt;0,G158/F158*100,0)</f>
        <v>55.25942857142857</v>
      </c>
      <c r="J158">
        <v>3</v>
      </c>
      <c r="K158" t="s">
        <v>98</v>
      </c>
    </row>
    <row r="159" spans="3:11" ht="12.75">
      <c r="C159" t="s">
        <v>100</v>
      </c>
      <c r="D159" t="s">
        <v>102</v>
      </c>
      <c r="E159" s="8">
        <f>1*12546.05</f>
        <v>12546.05</v>
      </c>
      <c r="F159" s="8">
        <f>1*18000</f>
        <v>18000</v>
      </c>
      <c r="G159" s="12">
        <f>E159-F159</f>
        <v>-5453.950000000001</v>
      </c>
      <c r="H159" s="13">
        <f>IF(F159&lt;&gt;0,G159/F159*100,0)</f>
        <v>-30.299722222222226</v>
      </c>
      <c r="J159">
        <v>3</v>
      </c>
      <c r="K159" t="s">
        <v>101</v>
      </c>
    </row>
    <row r="160" spans="3:11" ht="12.75">
      <c r="C160" t="s">
        <v>103</v>
      </c>
      <c r="D160" t="s">
        <v>102</v>
      </c>
      <c r="E160" s="8">
        <f>1*13747.94</f>
        <v>13747.94</v>
      </c>
      <c r="F160" s="8">
        <f>1*17000</f>
        <v>17000</v>
      </c>
      <c r="G160" s="12">
        <f>E160-F160</f>
        <v>-3252.0599999999995</v>
      </c>
      <c r="H160" s="13">
        <f>IF(F160&lt;&gt;0,G160/F160*100,0)</f>
        <v>-19.129764705882348</v>
      </c>
      <c r="J160">
        <v>3</v>
      </c>
      <c r="K160" t="s">
        <v>104</v>
      </c>
    </row>
    <row r="161" spans="3:11" ht="12.75">
      <c r="C161" t="s">
        <v>105</v>
      </c>
      <c r="D161" t="s">
        <v>106</v>
      </c>
      <c r="E161" s="8">
        <f>1*27128.95</f>
        <v>27128.95</v>
      </c>
      <c r="F161" s="8">
        <f>1*8000</f>
        <v>8000</v>
      </c>
      <c r="G161" s="14">
        <f>E161-F161</f>
        <v>19128.95</v>
      </c>
      <c r="H161" s="15">
        <f>IF(F161&lt;&gt;0,G161/F161*100,0)</f>
        <v>239.111875</v>
      </c>
      <c r="J161">
        <v>3</v>
      </c>
      <c r="K161" t="s">
        <v>105</v>
      </c>
    </row>
    <row r="162" spans="3:11" ht="12.75">
      <c r="C162" t="s">
        <v>107</v>
      </c>
      <c r="D162" t="s">
        <v>108</v>
      </c>
      <c r="E162" s="8">
        <f>1*107798.71</f>
        <v>107798.71</v>
      </c>
      <c r="F162" s="8">
        <f>1*33000</f>
        <v>33000</v>
      </c>
      <c r="G162" s="14">
        <f>E162-F162</f>
        <v>74798.71</v>
      </c>
      <c r="H162" s="15">
        <f>IF(F162&lt;&gt;0,G162/F162*100,0)</f>
        <v>226.6627575757576</v>
      </c>
      <c r="J162">
        <v>3</v>
      </c>
      <c r="K162" t="s">
        <v>107</v>
      </c>
    </row>
    <row r="163" spans="3:11" ht="12.75">
      <c r="C163" t="s">
        <v>109</v>
      </c>
      <c r="D163" t="s">
        <v>110</v>
      </c>
      <c r="E163" s="8">
        <f>1*62139.42</f>
        <v>62139.42</v>
      </c>
      <c r="F163" s="8">
        <f>1*44000</f>
        <v>44000</v>
      </c>
      <c r="G163" s="14">
        <f>E163-F163</f>
        <v>18139.42</v>
      </c>
      <c r="H163" s="15">
        <f>IF(F163&lt;&gt;0,G163/F163*100,0)</f>
        <v>41.22595454545454</v>
      </c>
      <c r="J163">
        <v>3</v>
      </c>
      <c r="K163" t="s">
        <v>109</v>
      </c>
    </row>
    <row r="164" spans="3:11" ht="12.75">
      <c r="C164" t="s">
        <v>111</v>
      </c>
      <c r="D164" t="s">
        <v>112</v>
      </c>
      <c r="E164" s="8">
        <f>1*20489.27</f>
        <v>20489.27</v>
      </c>
      <c r="F164" s="8">
        <f>1*10000</f>
        <v>10000</v>
      </c>
      <c r="G164" s="14">
        <f>E164-F164</f>
        <v>10489.27</v>
      </c>
      <c r="H164" s="15">
        <f>IF(F164&lt;&gt;0,G164/F164*100,0)</f>
        <v>104.89269999999999</v>
      </c>
      <c r="J164">
        <v>3</v>
      </c>
      <c r="K164" t="s">
        <v>111</v>
      </c>
    </row>
    <row r="165" spans="3:11" ht="12.75">
      <c r="C165" t="s">
        <v>113</v>
      </c>
      <c r="D165" t="s">
        <v>114</v>
      </c>
      <c r="E165" s="8">
        <f>1*37843.24</f>
        <v>37843.24</v>
      </c>
      <c r="F165" s="8">
        <f>1*38000</f>
        <v>38000</v>
      </c>
      <c r="G165" s="12">
        <f>E165-F165</f>
        <v>-156.76000000000204</v>
      </c>
      <c r="H165" s="13">
        <f>IF(F165&lt;&gt;0,G165/F165*100,0)</f>
        <v>-0.41252631578947907</v>
      </c>
      <c r="J165">
        <v>3</v>
      </c>
      <c r="K165" t="s">
        <v>113</v>
      </c>
    </row>
    <row r="166" spans="3:11" ht="12.75">
      <c r="C166" t="s">
        <v>115</v>
      </c>
      <c r="D166" t="s">
        <v>116</v>
      </c>
      <c r="E166" s="8">
        <f>1*29086.54</f>
        <v>29086.54</v>
      </c>
      <c r="F166" s="8">
        <f>1*25000</f>
        <v>25000</v>
      </c>
      <c r="G166" s="14">
        <f>E166-F166</f>
        <v>4086.540000000001</v>
      </c>
      <c r="H166" s="15">
        <f>IF(F166&lt;&gt;0,G166/F166*100,0)</f>
        <v>16.346160000000005</v>
      </c>
      <c r="J166">
        <v>3</v>
      </c>
      <c r="K166" t="s">
        <v>115</v>
      </c>
    </row>
    <row r="167" spans="3:11" ht="12.75">
      <c r="C167" t="s">
        <v>117</v>
      </c>
      <c r="D167" t="s">
        <v>118</v>
      </c>
      <c r="E167" s="8">
        <f>1*11903.7</f>
        <v>11903.7</v>
      </c>
      <c r="F167" s="8">
        <f>1*12000</f>
        <v>12000</v>
      </c>
      <c r="G167" s="12">
        <f>E167-F167</f>
        <v>-96.29999999999927</v>
      </c>
      <c r="H167" s="13">
        <f>IF(F167&lt;&gt;0,G167/F167*100,0)</f>
        <v>-0.802499999999994</v>
      </c>
      <c r="J167">
        <v>3</v>
      </c>
      <c r="K167" t="s">
        <v>117</v>
      </c>
    </row>
    <row r="168" spans="3:11" ht="12.75">
      <c r="C168" t="s">
        <v>119</v>
      </c>
      <c r="D168" t="s">
        <v>120</v>
      </c>
      <c r="E168" s="8">
        <f>1*44369.24</f>
        <v>44369.24</v>
      </c>
      <c r="F168" s="8">
        <f>1*18000</f>
        <v>18000</v>
      </c>
      <c r="G168" s="14">
        <f>E168-F168</f>
        <v>26369.239999999998</v>
      </c>
      <c r="H168" s="15">
        <f>IF(F168&lt;&gt;0,G168/F168*100,0)</f>
        <v>146.49577777777776</v>
      </c>
      <c r="J168">
        <v>3</v>
      </c>
      <c r="K168" t="s">
        <v>119</v>
      </c>
    </row>
    <row r="169" spans="3:11" ht="12.75">
      <c r="C169" t="s">
        <v>121</v>
      </c>
      <c r="D169" t="s">
        <v>122</v>
      </c>
      <c r="E169" s="8">
        <f>1*12115.83</f>
        <v>12115.83</v>
      </c>
      <c r="F169" s="8">
        <f>1*15000</f>
        <v>15000</v>
      </c>
      <c r="G169" s="12">
        <f>E169-F169</f>
        <v>-2884.17</v>
      </c>
      <c r="H169" s="13">
        <f>IF(F169&lt;&gt;0,G169/F169*100,0)</f>
        <v>-19.227800000000002</v>
      </c>
      <c r="J169">
        <v>3</v>
      </c>
      <c r="K169" t="s">
        <v>121</v>
      </c>
    </row>
    <row r="170" spans="3:11" ht="12.75">
      <c r="C170" t="s">
        <v>123</v>
      </c>
      <c r="D170" t="s">
        <v>122</v>
      </c>
      <c r="E170" s="8">
        <f>1*20024.65</f>
        <v>20024.65</v>
      </c>
      <c r="F170" s="8">
        <f>1*37000</f>
        <v>37000</v>
      </c>
      <c r="G170" s="12">
        <f>E170-F170</f>
        <v>-16975.35</v>
      </c>
      <c r="H170" s="13">
        <f>IF(F170&lt;&gt;0,G170/F170*100,0)</f>
        <v>-45.87932432432432</v>
      </c>
      <c r="J170">
        <v>3</v>
      </c>
      <c r="K170" t="s">
        <v>124</v>
      </c>
    </row>
    <row r="171" spans="3:11" ht="12.75">
      <c r="C171" t="s">
        <v>125</v>
      </c>
      <c r="D171" t="s">
        <v>122</v>
      </c>
      <c r="E171" s="8">
        <f>1*13933.41</f>
        <v>13933.41</v>
      </c>
      <c r="F171" s="8">
        <f>1*15000</f>
        <v>15000</v>
      </c>
      <c r="G171" s="12">
        <f>E171-F171</f>
        <v>-1066.5900000000001</v>
      </c>
      <c r="H171" s="13">
        <f>IF(F171&lt;&gt;0,G171/F171*100,0)</f>
        <v>-7.110600000000002</v>
      </c>
      <c r="J171">
        <v>3</v>
      </c>
      <c r="K171" t="s">
        <v>126</v>
      </c>
    </row>
    <row r="172" spans="3:11" ht="12.75">
      <c r="C172" t="s">
        <v>127</v>
      </c>
      <c r="D172" t="s">
        <v>128</v>
      </c>
      <c r="E172" s="8">
        <f>1*4646.78</f>
        <v>4646.78</v>
      </c>
      <c r="F172" s="8">
        <f>1*5000</f>
        <v>5000</v>
      </c>
      <c r="G172" s="12">
        <f>E172-F172</f>
        <v>-353.22000000000025</v>
      </c>
      <c r="H172" s="13">
        <f>IF(F172&lt;&gt;0,G172/F172*100,0)</f>
        <v>-7.064400000000005</v>
      </c>
      <c r="J172">
        <v>3</v>
      </c>
      <c r="K172" t="s">
        <v>127</v>
      </c>
    </row>
    <row r="173" spans="3:11" ht="12.75">
      <c r="C173" t="s">
        <v>129</v>
      </c>
      <c r="D173" t="s">
        <v>128</v>
      </c>
      <c r="E173" s="8">
        <f>1*6914.15</f>
        <v>6914.15</v>
      </c>
      <c r="F173" s="8">
        <f>1*12000</f>
        <v>12000</v>
      </c>
      <c r="G173" s="12">
        <f>E173-F173</f>
        <v>-5085.85</v>
      </c>
      <c r="H173" s="13">
        <f>IF(F173&lt;&gt;0,G173/F173*100,0)</f>
        <v>-42.382083333333334</v>
      </c>
      <c r="J173">
        <v>3</v>
      </c>
      <c r="K173" t="s">
        <v>130</v>
      </c>
    </row>
    <row r="174" spans="3:11" ht="12.75">
      <c r="C174" t="s">
        <v>131</v>
      </c>
      <c r="D174" t="s">
        <v>128</v>
      </c>
      <c r="E174" s="8">
        <f>1*13171.06</f>
        <v>13171.06</v>
      </c>
      <c r="F174" s="8">
        <f>1*12000</f>
        <v>12000</v>
      </c>
      <c r="G174" s="14">
        <f>E174-F174</f>
        <v>1171.0599999999995</v>
      </c>
      <c r="H174" s="15">
        <f>IF(F174&lt;&gt;0,G174/F174*100,0)</f>
        <v>9.75883333333333</v>
      </c>
      <c r="J174">
        <v>3</v>
      </c>
      <c r="K174" t="s">
        <v>132</v>
      </c>
    </row>
    <row r="175" spans="3:11" ht="12.75">
      <c r="C175" t="s">
        <v>133</v>
      </c>
      <c r="D175" t="s">
        <v>135</v>
      </c>
      <c r="E175" s="8">
        <f>1*0</f>
        <v>0</v>
      </c>
      <c r="F175" s="8">
        <f>1*54000</f>
        <v>54000</v>
      </c>
      <c r="G175" s="12">
        <f>E175-F175</f>
        <v>-54000</v>
      </c>
      <c r="H175" s="13">
        <f>IF(F175&lt;&gt;0,G175/F175*100,0)</f>
        <v>-100</v>
      </c>
      <c r="J175">
        <v>3</v>
      </c>
      <c r="K175" t="s">
        <v>134</v>
      </c>
    </row>
    <row r="176" spans="3:11" ht="12.75">
      <c r="C176" t="s">
        <v>136</v>
      </c>
      <c r="D176" t="s">
        <v>135</v>
      </c>
      <c r="E176" s="8">
        <f>1*160231.89</f>
        <v>160231.89</v>
      </c>
      <c r="F176" s="8">
        <f>1*125000</f>
        <v>125000</v>
      </c>
      <c r="G176" s="14">
        <f>E176-F176</f>
        <v>35231.890000000014</v>
      </c>
      <c r="H176" s="15">
        <f>IF(F176&lt;&gt;0,G176/F176*100,0)</f>
        <v>28.185512000000013</v>
      </c>
      <c r="J176">
        <v>3</v>
      </c>
      <c r="K176" t="s">
        <v>137</v>
      </c>
    </row>
    <row r="177" spans="3:11" ht="12.75">
      <c r="C177" t="s">
        <v>138</v>
      </c>
      <c r="D177" t="s">
        <v>140</v>
      </c>
      <c r="E177" s="8">
        <f>1*13198.85</f>
        <v>13198.85</v>
      </c>
      <c r="F177" s="8">
        <f>1*14000</f>
        <v>14000</v>
      </c>
      <c r="G177" s="12">
        <f>E177-F177</f>
        <v>-801.1499999999996</v>
      </c>
      <c r="H177" s="13">
        <f>IF(F177&lt;&gt;0,G177/F177*100,0)</f>
        <v>-5.7224999999999975</v>
      </c>
      <c r="J177">
        <v>3</v>
      </c>
      <c r="K177" t="s">
        <v>139</v>
      </c>
    </row>
    <row r="178" spans="3:11" ht="12.75">
      <c r="C178" t="s">
        <v>141</v>
      </c>
      <c r="D178" t="s">
        <v>140</v>
      </c>
      <c r="E178" s="8">
        <f>1*15600.11</f>
        <v>15600.11</v>
      </c>
      <c r="F178" s="8">
        <f>1*16000</f>
        <v>16000</v>
      </c>
      <c r="G178" s="12">
        <f>E178-F178</f>
        <v>-399.8899999999994</v>
      </c>
      <c r="H178" s="13">
        <f>IF(F178&lt;&gt;0,G178/F178*100,0)</f>
        <v>-2.4993124999999963</v>
      </c>
      <c r="J178">
        <v>3</v>
      </c>
      <c r="K178" t="s">
        <v>142</v>
      </c>
    </row>
    <row r="179" spans="3:11" ht="12.75">
      <c r="C179" t="s">
        <v>143</v>
      </c>
      <c r="D179" t="s">
        <v>144</v>
      </c>
      <c r="E179" s="8">
        <f>1*21617.06</f>
        <v>21617.06</v>
      </c>
      <c r="F179" s="8">
        <f>1*16000</f>
        <v>16000</v>
      </c>
      <c r="G179" s="14">
        <f>E179-F179</f>
        <v>5617.060000000001</v>
      </c>
      <c r="H179" s="15">
        <f>IF(F179&lt;&gt;0,G179/F179*100,0)</f>
        <v>35.10662500000001</v>
      </c>
      <c r="J179">
        <v>3</v>
      </c>
      <c r="K179" t="s">
        <v>143</v>
      </c>
    </row>
    <row r="180" ht="12.75">
      <c r="J180">
        <v>3.1</v>
      </c>
    </row>
    <row r="181" spans="1:11" ht="12.75">
      <c r="A181" t="s">
        <v>15</v>
      </c>
      <c r="B181" s="10">
        <v>43951</v>
      </c>
      <c r="C181" t="s">
        <v>11</v>
      </c>
      <c r="D181" t="s">
        <v>12</v>
      </c>
      <c r="E181" s="8">
        <f>-1*-378203.54</f>
        <v>378203.54</v>
      </c>
      <c r="F181" s="8">
        <f>-1*-400000</f>
        <v>400000</v>
      </c>
      <c r="G181" s="12">
        <f>E181-F181</f>
        <v>-21796.46000000002</v>
      </c>
      <c r="H181" s="13">
        <f>IF(F181&lt;&gt;0,G181/F181*100,0)</f>
        <v>-5.449115000000005</v>
      </c>
      <c r="J181">
        <v>4</v>
      </c>
      <c r="K181" t="s">
        <v>11</v>
      </c>
    </row>
    <row r="182" spans="3:11" ht="12.75">
      <c r="C182" t="s">
        <v>24</v>
      </c>
      <c r="D182" t="s">
        <v>12</v>
      </c>
      <c r="E182" s="8">
        <f>-1*-412953.08</f>
        <v>412953.08</v>
      </c>
      <c r="F182" s="8">
        <f>-1*-82000</f>
        <v>82000</v>
      </c>
      <c r="G182" s="14">
        <f>E182-F182</f>
        <v>330953.08</v>
      </c>
      <c r="H182" s="15">
        <f>IF(F182&lt;&gt;0,G182/F182*100,0)</f>
        <v>403.6013170731708</v>
      </c>
      <c r="J182">
        <v>4</v>
      </c>
      <c r="K182" t="s">
        <v>25</v>
      </c>
    </row>
    <row r="183" spans="3:11" ht="12.75">
      <c r="C183" t="s">
        <v>26</v>
      </c>
      <c r="D183" t="s">
        <v>12</v>
      </c>
      <c r="E183" s="8">
        <f>-1*-203279.43</f>
        <v>203279.43</v>
      </c>
      <c r="F183" s="8">
        <f>-1*-186000</f>
        <v>186000</v>
      </c>
      <c r="G183" s="14">
        <f>E183-F183</f>
        <v>17279.429999999993</v>
      </c>
      <c r="H183" s="15">
        <f>IF(F183&lt;&gt;0,G183/F183*100,0)</f>
        <v>9.290016129032255</v>
      </c>
      <c r="J183">
        <v>4</v>
      </c>
      <c r="K183" t="s">
        <v>27</v>
      </c>
    </row>
    <row r="184" spans="3:11" ht="12.75">
      <c r="C184" t="s">
        <v>28</v>
      </c>
      <c r="D184" t="s">
        <v>30</v>
      </c>
      <c r="E184" s="8">
        <f>-1*-6289.77</f>
        <v>6289.77</v>
      </c>
      <c r="F184" s="8">
        <f>-1*-5000</f>
        <v>5000</v>
      </c>
      <c r="G184" s="14">
        <f>E184-F184</f>
        <v>1289.7700000000004</v>
      </c>
      <c r="H184" s="15">
        <f>IF(F184&lt;&gt;0,G184/F184*100,0)</f>
        <v>25.795400000000008</v>
      </c>
      <c r="J184">
        <v>4</v>
      </c>
      <c r="K184" t="s">
        <v>29</v>
      </c>
    </row>
    <row r="185" spans="3:11" ht="12.75">
      <c r="C185" t="s">
        <v>31</v>
      </c>
      <c r="D185" t="s">
        <v>30</v>
      </c>
      <c r="E185" s="8">
        <f>-1*-9729.71</f>
        <v>9729.71</v>
      </c>
      <c r="F185" s="8">
        <f>-1*-7000</f>
        <v>7000</v>
      </c>
      <c r="G185" s="14">
        <f>E185-F185</f>
        <v>2729.709999999999</v>
      </c>
      <c r="H185" s="15">
        <f>IF(F185&lt;&gt;0,G185/F185*100,0)</f>
        <v>38.99585714285713</v>
      </c>
      <c r="J185">
        <v>4</v>
      </c>
      <c r="K185" t="s">
        <v>32</v>
      </c>
    </row>
    <row r="186" spans="3:11" ht="12.75">
      <c r="C186" t="s">
        <v>33</v>
      </c>
      <c r="D186" t="s">
        <v>30</v>
      </c>
      <c r="E186" s="8">
        <f>-1*-13980.43</f>
        <v>13980.43</v>
      </c>
      <c r="F186" s="8">
        <f>-1*-2000</f>
        <v>2000</v>
      </c>
      <c r="G186" s="14">
        <f>E186-F186</f>
        <v>11980.43</v>
      </c>
      <c r="H186" s="15">
        <f>IF(F186&lt;&gt;0,G186/F186*100,0)</f>
        <v>599.0215000000001</v>
      </c>
      <c r="J186">
        <v>4</v>
      </c>
      <c r="K186" t="s">
        <v>34</v>
      </c>
    </row>
    <row r="187" spans="3:11" ht="12.75">
      <c r="C187" t="s">
        <v>35</v>
      </c>
      <c r="D187" t="s">
        <v>30</v>
      </c>
      <c r="E187" s="8">
        <f>-1*-2481.95</f>
        <v>2481.95</v>
      </c>
      <c r="F187" s="8">
        <f>-1*-2000</f>
        <v>2000</v>
      </c>
      <c r="G187" s="14">
        <f>E187-F187</f>
        <v>481.9499999999998</v>
      </c>
      <c r="H187" s="15">
        <f>IF(F187&lt;&gt;0,G187/F187*100,0)</f>
        <v>24.09749999999999</v>
      </c>
      <c r="J187">
        <v>4</v>
      </c>
      <c r="K187" t="s">
        <v>36</v>
      </c>
    </row>
    <row r="188" spans="3:11" ht="12.75">
      <c r="C188" t="s">
        <v>37</v>
      </c>
      <c r="D188" t="s">
        <v>30</v>
      </c>
      <c r="E188" s="8">
        <f>-1*-6329.51</f>
        <v>6329.51</v>
      </c>
      <c r="F188" s="8">
        <f>-1*-6000</f>
        <v>6000</v>
      </c>
      <c r="G188" s="14">
        <f>E188-F188</f>
        <v>329.5100000000002</v>
      </c>
      <c r="H188" s="15">
        <f>IF(F188&lt;&gt;0,G188/F188*100,0)</f>
        <v>5.491833333333337</v>
      </c>
      <c r="J188">
        <v>4</v>
      </c>
      <c r="K188" t="s">
        <v>38</v>
      </c>
    </row>
    <row r="189" spans="3:11" ht="12.75">
      <c r="C189" t="s">
        <v>39</v>
      </c>
      <c r="D189" t="s">
        <v>30</v>
      </c>
      <c r="E189" s="8">
        <f>-1*-6876.54</f>
        <v>6876.54</v>
      </c>
      <c r="F189" s="8">
        <f>-1*-6000</f>
        <v>6000</v>
      </c>
      <c r="G189" s="14">
        <f>E189-F189</f>
        <v>876.54</v>
      </c>
      <c r="H189" s="15">
        <f>IF(F189&lt;&gt;0,G189/F189*100,0)</f>
        <v>14.609</v>
      </c>
      <c r="J189">
        <v>4</v>
      </c>
      <c r="K189" t="s">
        <v>40</v>
      </c>
    </row>
    <row r="190" spans="3:11" ht="12.75">
      <c r="C190" t="s">
        <v>41</v>
      </c>
      <c r="D190" t="s">
        <v>30</v>
      </c>
      <c r="E190" s="8">
        <f>-1*-4015.85</f>
        <v>4015.85</v>
      </c>
      <c r="F190" s="8">
        <f>-1*-3000</f>
        <v>3000</v>
      </c>
      <c r="G190" s="14">
        <f>E190-F190</f>
        <v>1015.8499999999999</v>
      </c>
      <c r="H190" s="15">
        <f>IF(F190&lt;&gt;0,G190/F190*100,0)</f>
        <v>33.861666666666665</v>
      </c>
      <c r="J190">
        <v>4</v>
      </c>
      <c r="K190" t="s">
        <v>42</v>
      </c>
    </row>
    <row r="191" spans="3:11" ht="12.75">
      <c r="C191" t="s">
        <v>43</v>
      </c>
      <c r="D191" t="s">
        <v>30</v>
      </c>
      <c r="E191" s="8">
        <f>-1*-3481.74</f>
        <v>3481.74</v>
      </c>
      <c r="F191" s="8">
        <f>-1*-3000</f>
        <v>3000</v>
      </c>
      <c r="G191" s="14">
        <f>E191-F191</f>
        <v>481.7399999999998</v>
      </c>
      <c r="H191" s="15">
        <f>IF(F191&lt;&gt;0,G191/F191*100,0)</f>
        <v>16.057999999999993</v>
      </c>
      <c r="J191">
        <v>4</v>
      </c>
      <c r="K191" t="s">
        <v>44</v>
      </c>
    </row>
    <row r="192" spans="3:11" ht="12.75">
      <c r="C192" t="s">
        <v>45</v>
      </c>
      <c r="D192" t="s">
        <v>46</v>
      </c>
      <c r="E192" s="8">
        <f>-1*-86691.32</f>
        <v>86691.32</v>
      </c>
      <c r="F192" s="8">
        <f>-1*-16000</f>
        <v>16000</v>
      </c>
      <c r="G192" s="14">
        <f>E192-F192</f>
        <v>70691.32</v>
      </c>
      <c r="H192" s="15">
        <f>IF(F192&lt;&gt;0,G192/F192*100,0)</f>
        <v>441.82075000000003</v>
      </c>
      <c r="J192">
        <v>4</v>
      </c>
      <c r="K192" t="s">
        <v>45</v>
      </c>
    </row>
    <row r="193" spans="3:11" ht="12.75">
      <c r="C193" t="s">
        <v>47</v>
      </c>
      <c r="D193" t="s">
        <v>48</v>
      </c>
      <c r="E193" s="8">
        <f>-1*-279491.88</f>
        <v>279491.88</v>
      </c>
      <c r="F193" s="8">
        <f>-1*-47000</f>
        <v>47000</v>
      </c>
      <c r="G193" s="14">
        <f>E193-F193</f>
        <v>232491.88</v>
      </c>
      <c r="H193" s="15">
        <f>IF(F193&lt;&gt;0,G193/F193*100,0)</f>
        <v>494.6635744680851</v>
      </c>
      <c r="J193">
        <v>4</v>
      </c>
      <c r="K193" t="s">
        <v>47</v>
      </c>
    </row>
    <row r="194" spans="3:11" ht="12.75">
      <c r="C194" t="s">
        <v>49</v>
      </c>
      <c r="D194" t="s">
        <v>50</v>
      </c>
      <c r="E194" s="8">
        <f>-1*-218889.89</f>
        <v>218889.89</v>
      </c>
      <c r="F194" s="8">
        <f>-1*-28000</f>
        <v>28000</v>
      </c>
      <c r="G194" s="14">
        <f>E194-F194</f>
        <v>190889.89</v>
      </c>
      <c r="H194" s="15">
        <f>IF(F194&lt;&gt;0,G194/F194*100,0)</f>
        <v>681.7496071428571</v>
      </c>
      <c r="J194">
        <v>4</v>
      </c>
      <c r="K194" t="s">
        <v>49</v>
      </c>
    </row>
    <row r="195" spans="3:11" ht="12.75">
      <c r="C195" t="s">
        <v>51</v>
      </c>
      <c r="D195" t="s">
        <v>52</v>
      </c>
      <c r="E195" s="8">
        <f>-1*-378979.21</f>
        <v>378979.21</v>
      </c>
      <c r="F195" s="8">
        <f>-1*-60000</f>
        <v>60000</v>
      </c>
      <c r="G195" s="14">
        <f>E195-F195</f>
        <v>318979.21</v>
      </c>
      <c r="H195" s="15">
        <f>IF(F195&lt;&gt;0,G195/F195*100,0)</f>
        <v>531.6320166666667</v>
      </c>
      <c r="J195">
        <v>4</v>
      </c>
      <c r="K195" t="s">
        <v>51</v>
      </c>
    </row>
    <row r="196" spans="3:11" ht="12.75">
      <c r="C196" t="s">
        <v>53</v>
      </c>
      <c r="D196" t="s">
        <v>54</v>
      </c>
      <c r="E196" s="8">
        <f>-1*-70293.91</f>
        <v>70293.91</v>
      </c>
      <c r="F196" s="8">
        <f>-1*-16000</f>
        <v>16000</v>
      </c>
      <c r="G196" s="14">
        <f>E196-F196</f>
        <v>54293.91</v>
      </c>
      <c r="H196" s="15">
        <f>IF(F196&lt;&gt;0,G196/F196*100,0)</f>
        <v>339.33693750000003</v>
      </c>
      <c r="J196">
        <v>4</v>
      </c>
      <c r="K196" t="s">
        <v>53</v>
      </c>
    </row>
    <row r="197" spans="3:11" ht="12.75">
      <c r="C197" t="s">
        <v>55</v>
      </c>
      <c r="D197" t="s">
        <v>56</v>
      </c>
      <c r="E197" s="8">
        <f>1*25950.66</f>
        <v>25950.66</v>
      </c>
      <c r="F197" s="8">
        <f>1*10000</f>
        <v>10000</v>
      </c>
      <c r="G197" s="14">
        <f>E197-F197</f>
        <v>15950.66</v>
      </c>
      <c r="H197" s="15">
        <f>IF(F197&lt;&gt;0,G197/F197*100,0)</f>
        <v>159.50660000000002</v>
      </c>
      <c r="J197">
        <v>4</v>
      </c>
      <c r="K197" t="s">
        <v>55</v>
      </c>
    </row>
    <row r="198" spans="3:11" ht="12.75">
      <c r="C198" t="s">
        <v>57</v>
      </c>
      <c r="D198" t="s">
        <v>58</v>
      </c>
      <c r="E198" s="8">
        <f>1*79552.61</f>
        <v>79552.61</v>
      </c>
      <c r="F198" s="8">
        <f>1*67000</f>
        <v>67000</v>
      </c>
      <c r="G198" s="14">
        <f>E198-F198</f>
        <v>12552.61</v>
      </c>
      <c r="H198" s="15">
        <f>IF(F198&lt;&gt;0,G198/F198*100,0)</f>
        <v>18.735238805970152</v>
      </c>
      <c r="J198">
        <v>4</v>
      </c>
      <c r="K198" t="s">
        <v>57</v>
      </c>
    </row>
    <row r="199" spans="3:11" ht="12.75">
      <c r="C199" t="s">
        <v>59</v>
      </c>
      <c r="D199" t="s">
        <v>60</v>
      </c>
      <c r="E199" s="8">
        <f>1*8339.3</f>
        <v>8339.3</v>
      </c>
      <c r="F199" s="8">
        <f>1*15000</f>
        <v>15000</v>
      </c>
      <c r="G199" s="12">
        <f>E199-F199</f>
        <v>-6660.700000000001</v>
      </c>
      <c r="H199" s="13">
        <f>IF(F199&lt;&gt;0,G199/F199*100,0)</f>
        <v>-44.40466666666667</v>
      </c>
      <c r="J199">
        <v>4</v>
      </c>
      <c r="K199" t="s">
        <v>59</v>
      </c>
    </row>
    <row r="200" spans="3:11" ht="12.75">
      <c r="C200" t="s">
        <v>61</v>
      </c>
      <c r="D200" t="s">
        <v>60</v>
      </c>
      <c r="E200" s="8">
        <f>1*7810.35</f>
        <v>7810.35</v>
      </c>
      <c r="F200" s="8">
        <f>1*8000</f>
        <v>8000</v>
      </c>
      <c r="G200" s="12">
        <f>E200-F200</f>
        <v>-189.64999999999964</v>
      </c>
      <c r="H200" s="13">
        <f>IF(F200&lt;&gt;0,G200/F200*100,0)</f>
        <v>-2.370624999999995</v>
      </c>
      <c r="J200">
        <v>4</v>
      </c>
      <c r="K200" t="s">
        <v>62</v>
      </c>
    </row>
    <row r="201" spans="3:11" ht="12.75">
      <c r="C201" t="s">
        <v>63</v>
      </c>
      <c r="D201" t="s">
        <v>60</v>
      </c>
      <c r="E201" s="8">
        <f>1*7780.17</f>
        <v>7780.17</v>
      </c>
      <c r="F201" s="8">
        <f>1*12000</f>
        <v>12000</v>
      </c>
      <c r="G201" s="12">
        <f>E201-F201</f>
        <v>-4219.83</v>
      </c>
      <c r="H201" s="13">
        <f>IF(F201&lt;&gt;0,G201/F201*100,0)</f>
        <v>-35.16525</v>
      </c>
      <c r="J201">
        <v>4</v>
      </c>
      <c r="K201" t="s">
        <v>64</v>
      </c>
    </row>
    <row r="202" spans="3:11" ht="12.75">
      <c r="C202" t="s">
        <v>65</v>
      </c>
      <c r="D202" t="s">
        <v>66</v>
      </c>
      <c r="E202" s="8">
        <f>1*46731.59</f>
        <v>46731.59</v>
      </c>
      <c r="F202" s="8">
        <f>1*60000</f>
        <v>60000</v>
      </c>
      <c r="G202" s="12">
        <f>E202-F202</f>
        <v>-13268.410000000003</v>
      </c>
      <c r="H202" s="13">
        <f>IF(F202&lt;&gt;0,G202/F202*100,0)</f>
        <v>-22.11401666666667</v>
      </c>
      <c r="J202">
        <v>4</v>
      </c>
      <c r="K202" t="s">
        <v>65</v>
      </c>
    </row>
    <row r="203" spans="3:11" ht="12.75">
      <c r="C203" t="s">
        <v>67</v>
      </c>
      <c r="D203" t="s">
        <v>66</v>
      </c>
      <c r="E203" s="8">
        <f>1*0</f>
        <v>0</v>
      </c>
      <c r="F203" s="8">
        <f>1*26000</f>
        <v>26000</v>
      </c>
      <c r="G203" s="12">
        <f>E203-F203</f>
        <v>-26000</v>
      </c>
      <c r="H203" s="13">
        <f>IF(F203&lt;&gt;0,G203/F203*100,0)</f>
        <v>-100</v>
      </c>
      <c r="J203">
        <v>4</v>
      </c>
      <c r="K203" t="s">
        <v>68</v>
      </c>
    </row>
    <row r="204" spans="3:11" ht="12.75">
      <c r="C204" t="s">
        <v>69</v>
      </c>
      <c r="D204" t="s">
        <v>66</v>
      </c>
      <c r="E204" s="8">
        <f>1*38462.87</f>
        <v>38462.87</v>
      </c>
      <c r="F204" s="8">
        <f>1*14000</f>
        <v>14000</v>
      </c>
      <c r="G204" s="14">
        <f>E204-F204</f>
        <v>24462.870000000003</v>
      </c>
      <c r="H204" s="15">
        <f>IF(F204&lt;&gt;0,G204/F204*100,0)</f>
        <v>174.73478571428572</v>
      </c>
      <c r="J204">
        <v>4</v>
      </c>
      <c r="K204" t="s">
        <v>70</v>
      </c>
    </row>
    <row r="205" spans="3:11" ht="12.75">
      <c r="C205" t="s">
        <v>71</v>
      </c>
      <c r="D205" t="s">
        <v>72</v>
      </c>
      <c r="E205" s="8">
        <f>1*24163.66</f>
        <v>24163.66</v>
      </c>
      <c r="F205" s="8">
        <f>1*13000</f>
        <v>13000</v>
      </c>
      <c r="G205" s="14">
        <f>E205-F205</f>
        <v>11163.66</v>
      </c>
      <c r="H205" s="15">
        <f>IF(F205&lt;&gt;0,G205/F205*100,0)</f>
        <v>85.8743076923077</v>
      </c>
      <c r="J205">
        <v>4</v>
      </c>
      <c r="K205" t="s">
        <v>71</v>
      </c>
    </row>
    <row r="206" spans="3:11" ht="12.75">
      <c r="C206" t="s">
        <v>73</v>
      </c>
      <c r="D206" t="s">
        <v>74</v>
      </c>
      <c r="E206" s="8">
        <f>1*7484.24</f>
        <v>7484.24</v>
      </c>
      <c r="F206" s="8">
        <f>1*3000</f>
        <v>3000</v>
      </c>
      <c r="G206" s="14">
        <f>E206-F206</f>
        <v>4484.24</v>
      </c>
      <c r="H206" s="15">
        <f>IF(F206&lt;&gt;0,G206/F206*100,0)</f>
        <v>149.47466666666668</v>
      </c>
      <c r="J206">
        <v>4</v>
      </c>
      <c r="K206" t="s">
        <v>73</v>
      </c>
    </row>
    <row r="207" spans="3:11" ht="12.75">
      <c r="C207" t="s">
        <v>75</v>
      </c>
      <c r="D207" t="s">
        <v>77</v>
      </c>
      <c r="E207" s="8">
        <f>1*1744.23</f>
        <v>1744.23</v>
      </c>
      <c r="F207" s="8">
        <f>1*12000</f>
        <v>12000</v>
      </c>
      <c r="G207" s="12">
        <f>E207-F207</f>
        <v>-10255.77</v>
      </c>
      <c r="H207" s="13">
        <f>IF(F207&lt;&gt;0,G207/F207*100,0)</f>
        <v>-85.46475</v>
      </c>
      <c r="J207">
        <v>4</v>
      </c>
      <c r="K207" t="s">
        <v>76</v>
      </c>
    </row>
    <row r="208" spans="3:11" ht="12.75">
      <c r="C208" t="s">
        <v>78</v>
      </c>
      <c r="D208" t="s">
        <v>77</v>
      </c>
      <c r="E208" s="8">
        <f>1*4382.89</f>
        <v>4382.89</v>
      </c>
      <c r="F208" s="8">
        <f>1*10000</f>
        <v>10000</v>
      </c>
      <c r="G208" s="12">
        <f>E208-F208</f>
        <v>-5617.11</v>
      </c>
      <c r="H208" s="13">
        <f>IF(F208&lt;&gt;0,G208/F208*100,0)</f>
        <v>-56.171099999999996</v>
      </c>
      <c r="J208">
        <v>4</v>
      </c>
      <c r="K208" t="s">
        <v>79</v>
      </c>
    </row>
    <row r="209" spans="3:11" ht="12.75">
      <c r="C209" t="s">
        <v>80</v>
      </c>
      <c r="D209" t="s">
        <v>81</v>
      </c>
      <c r="E209" s="8">
        <f>1*30398.84</f>
        <v>30398.84</v>
      </c>
      <c r="F209" s="8">
        <f>1*16000</f>
        <v>16000</v>
      </c>
      <c r="G209" s="14">
        <f>E209-F209</f>
        <v>14398.84</v>
      </c>
      <c r="H209" s="15">
        <f>IF(F209&lt;&gt;0,G209/F209*100,0)</f>
        <v>89.99275</v>
      </c>
      <c r="J209">
        <v>4</v>
      </c>
      <c r="K209" t="s">
        <v>80</v>
      </c>
    </row>
    <row r="210" spans="3:11" ht="12.75">
      <c r="C210" t="s">
        <v>82</v>
      </c>
      <c r="D210" t="s">
        <v>84</v>
      </c>
      <c r="E210" s="8">
        <f>1*12666.19</f>
        <v>12666.19</v>
      </c>
      <c r="F210" s="8">
        <f>1*13000</f>
        <v>13000</v>
      </c>
      <c r="G210" s="12">
        <f>E210-F210</f>
        <v>-333.8099999999995</v>
      </c>
      <c r="H210" s="13">
        <f>IF(F210&lt;&gt;0,G210/F210*100,0)</f>
        <v>-2.567769230769227</v>
      </c>
      <c r="J210">
        <v>4</v>
      </c>
      <c r="K210" t="s">
        <v>83</v>
      </c>
    </row>
    <row r="211" spans="3:11" ht="12.75">
      <c r="C211" t="s">
        <v>85</v>
      </c>
      <c r="D211" t="s">
        <v>84</v>
      </c>
      <c r="E211" s="8">
        <f>1*12666.19</f>
        <v>12666.19</v>
      </c>
      <c r="F211" s="8">
        <f>1*13000</f>
        <v>13000</v>
      </c>
      <c r="G211" s="12">
        <f>E211-F211</f>
        <v>-333.8099999999995</v>
      </c>
      <c r="H211" s="13">
        <f>IF(F211&lt;&gt;0,G211/F211*100,0)</f>
        <v>-2.567769230769227</v>
      </c>
      <c r="J211">
        <v>4</v>
      </c>
      <c r="K211" t="s">
        <v>86</v>
      </c>
    </row>
    <row r="212" spans="3:11" ht="12.75">
      <c r="C212" t="s">
        <v>87</v>
      </c>
      <c r="D212" t="s">
        <v>88</v>
      </c>
      <c r="E212" s="8">
        <f>1*13621.02</f>
        <v>13621.02</v>
      </c>
      <c r="F212" s="8">
        <f>1*10000</f>
        <v>10000</v>
      </c>
      <c r="G212" s="14">
        <f>E212-F212</f>
        <v>3621.0200000000004</v>
      </c>
      <c r="H212" s="15">
        <f>IF(F212&lt;&gt;0,G212/F212*100,0)</f>
        <v>36.2102</v>
      </c>
      <c r="J212">
        <v>4</v>
      </c>
      <c r="K212" t="s">
        <v>87</v>
      </c>
    </row>
    <row r="213" spans="3:11" ht="12.75">
      <c r="C213" t="s">
        <v>89</v>
      </c>
      <c r="D213" t="s">
        <v>90</v>
      </c>
      <c r="E213" s="8">
        <f>1*45229.61</f>
        <v>45229.61</v>
      </c>
      <c r="F213" s="8">
        <f>1*29000</f>
        <v>29000</v>
      </c>
      <c r="G213" s="14">
        <f>E213-F213</f>
        <v>16229.61</v>
      </c>
      <c r="H213" s="15">
        <f>IF(F213&lt;&gt;0,G213/F213*100,0)</f>
        <v>55.9641724137931</v>
      </c>
      <c r="J213">
        <v>4</v>
      </c>
      <c r="K213" t="s">
        <v>89</v>
      </c>
    </row>
    <row r="214" spans="3:11" ht="12.75">
      <c r="C214" t="s">
        <v>91</v>
      </c>
      <c r="D214" t="s">
        <v>92</v>
      </c>
      <c r="E214" s="8">
        <f>1*4148.45</f>
        <v>4148.45</v>
      </c>
      <c r="F214" s="8">
        <f>1*3000</f>
        <v>3000</v>
      </c>
      <c r="G214" s="14">
        <f>E214-F214</f>
        <v>1148.4499999999998</v>
      </c>
      <c r="H214" s="15">
        <f>IF(F214&lt;&gt;0,G214/F214*100,0)</f>
        <v>38.28166666666666</v>
      </c>
      <c r="J214">
        <v>4</v>
      </c>
      <c r="K214" t="s">
        <v>91</v>
      </c>
    </row>
    <row r="215" spans="3:11" ht="12.75">
      <c r="C215" t="s">
        <v>93</v>
      </c>
      <c r="D215" t="s">
        <v>95</v>
      </c>
      <c r="E215" s="8">
        <f>1*8787</f>
        <v>8787</v>
      </c>
      <c r="F215" s="8">
        <f>1*12000</f>
        <v>12000</v>
      </c>
      <c r="G215" s="12">
        <f>E215-F215</f>
        <v>-3213</v>
      </c>
      <c r="H215" s="13">
        <f>IF(F215&lt;&gt;0,G215/F215*100,0)</f>
        <v>-26.775</v>
      </c>
      <c r="J215">
        <v>4</v>
      </c>
      <c r="K215" t="s">
        <v>94</v>
      </c>
    </row>
    <row r="216" spans="3:11" ht="12.75">
      <c r="C216" t="s">
        <v>96</v>
      </c>
      <c r="D216" t="s">
        <v>95</v>
      </c>
      <c r="E216" s="8">
        <f>1*15403.69</f>
        <v>15403.69</v>
      </c>
      <c r="F216" s="8">
        <f>1*17000</f>
        <v>17000</v>
      </c>
      <c r="G216" s="12">
        <f>E216-F216</f>
        <v>-1596.3099999999995</v>
      </c>
      <c r="H216" s="13">
        <f>IF(F216&lt;&gt;0,G216/F216*100,0)</f>
        <v>-9.390058823529408</v>
      </c>
      <c r="J216">
        <v>4</v>
      </c>
      <c r="K216" t="s">
        <v>97</v>
      </c>
    </row>
    <row r="217" spans="3:11" ht="12.75">
      <c r="C217" t="s">
        <v>98</v>
      </c>
      <c r="D217" t="s">
        <v>99</v>
      </c>
      <c r="E217" s="8">
        <f>1*14000.61</f>
        <v>14000.61</v>
      </c>
      <c r="F217" s="8">
        <f>1*7000</f>
        <v>7000</v>
      </c>
      <c r="G217" s="14">
        <f>E217-F217</f>
        <v>7000.610000000001</v>
      </c>
      <c r="H217" s="15">
        <f>IF(F217&lt;&gt;0,G217/F217*100,0)</f>
        <v>100.00871428571429</v>
      </c>
      <c r="J217">
        <v>4</v>
      </c>
      <c r="K217" t="s">
        <v>98</v>
      </c>
    </row>
    <row r="218" spans="3:11" ht="12.75">
      <c r="C218" t="s">
        <v>100</v>
      </c>
      <c r="D218" t="s">
        <v>102</v>
      </c>
      <c r="E218" s="8">
        <f>1*11161.85</f>
        <v>11161.85</v>
      </c>
      <c r="F218" s="8">
        <f>1*18000</f>
        <v>18000</v>
      </c>
      <c r="G218" s="12">
        <f>E218-F218</f>
        <v>-6838.15</v>
      </c>
      <c r="H218" s="13">
        <f>IF(F218&lt;&gt;0,G218/F218*100,0)</f>
        <v>-37.98972222222222</v>
      </c>
      <c r="J218">
        <v>4</v>
      </c>
      <c r="K218" t="s">
        <v>101</v>
      </c>
    </row>
    <row r="219" spans="3:11" ht="12.75">
      <c r="C219" t="s">
        <v>103</v>
      </c>
      <c r="D219" t="s">
        <v>102</v>
      </c>
      <c r="E219" s="8">
        <f>1*13200.11</f>
        <v>13200.11</v>
      </c>
      <c r="F219" s="8">
        <f>1*17000</f>
        <v>17000</v>
      </c>
      <c r="G219" s="12">
        <f>E219-F219</f>
        <v>-3799.8899999999994</v>
      </c>
      <c r="H219" s="13">
        <f>IF(F219&lt;&gt;0,G219/F219*100,0)</f>
        <v>-22.352294117647055</v>
      </c>
      <c r="J219">
        <v>4</v>
      </c>
      <c r="K219" t="s">
        <v>104</v>
      </c>
    </row>
    <row r="220" spans="3:11" ht="12.75">
      <c r="C220" t="s">
        <v>105</v>
      </c>
      <c r="D220" t="s">
        <v>106</v>
      </c>
      <c r="E220" s="8">
        <f>1*25809.23</f>
        <v>25809.23</v>
      </c>
      <c r="F220" s="8">
        <f>1*8000</f>
        <v>8000</v>
      </c>
      <c r="G220" s="14">
        <f>E220-F220</f>
        <v>17809.23</v>
      </c>
      <c r="H220" s="15">
        <f>IF(F220&lt;&gt;0,G220/F220*100,0)</f>
        <v>222.615375</v>
      </c>
      <c r="J220">
        <v>4</v>
      </c>
      <c r="K220" t="s">
        <v>105</v>
      </c>
    </row>
    <row r="221" spans="3:11" ht="12.75">
      <c r="C221" t="s">
        <v>107</v>
      </c>
      <c r="D221" t="s">
        <v>108</v>
      </c>
      <c r="E221" s="8">
        <f>1*77832.2</f>
        <v>77832.2</v>
      </c>
      <c r="F221" s="8">
        <f>1*33000</f>
        <v>33000</v>
      </c>
      <c r="G221" s="14">
        <f>E221-F221</f>
        <v>44832.2</v>
      </c>
      <c r="H221" s="15">
        <f>IF(F221&lt;&gt;0,G221/F221*100,0)</f>
        <v>135.8551515151515</v>
      </c>
      <c r="J221">
        <v>4</v>
      </c>
      <c r="K221" t="s">
        <v>107</v>
      </c>
    </row>
    <row r="222" spans="3:11" ht="12.75">
      <c r="C222" t="s">
        <v>109</v>
      </c>
      <c r="D222" t="s">
        <v>110</v>
      </c>
      <c r="E222" s="8">
        <f>1*58449.99</f>
        <v>58449.99</v>
      </c>
      <c r="F222" s="8">
        <f>1*44000</f>
        <v>44000</v>
      </c>
      <c r="G222" s="14">
        <f>E222-F222</f>
        <v>14449.989999999998</v>
      </c>
      <c r="H222" s="15">
        <f>IF(F222&lt;&gt;0,G222/F222*100,0)</f>
        <v>32.84088636363636</v>
      </c>
      <c r="J222">
        <v>4</v>
      </c>
      <c r="K222" t="s">
        <v>109</v>
      </c>
    </row>
    <row r="223" spans="3:11" ht="12.75">
      <c r="C223" t="s">
        <v>111</v>
      </c>
      <c r="D223" t="s">
        <v>112</v>
      </c>
      <c r="E223" s="8">
        <f>1*17800.84</f>
        <v>17800.84</v>
      </c>
      <c r="F223" s="8">
        <f>1*10000</f>
        <v>10000</v>
      </c>
      <c r="G223" s="14">
        <f>E223-F223</f>
        <v>7800.84</v>
      </c>
      <c r="H223" s="15">
        <f>IF(F223&lt;&gt;0,G223/F223*100,0)</f>
        <v>78.0084</v>
      </c>
      <c r="J223">
        <v>4</v>
      </c>
      <c r="K223" t="s">
        <v>111</v>
      </c>
    </row>
    <row r="224" spans="3:11" ht="12.75">
      <c r="C224" t="s">
        <v>113</v>
      </c>
      <c r="D224" t="s">
        <v>114</v>
      </c>
      <c r="E224" s="8">
        <f>1*35681.3</f>
        <v>35681.3</v>
      </c>
      <c r="F224" s="8">
        <f>1*38000</f>
        <v>38000</v>
      </c>
      <c r="G224" s="12">
        <f>E224-F224</f>
        <v>-2318.699999999997</v>
      </c>
      <c r="H224" s="13">
        <f>IF(F224&lt;&gt;0,G224/F224*100,0)</f>
        <v>-6.10184210526315</v>
      </c>
      <c r="J224">
        <v>4</v>
      </c>
      <c r="K224" t="s">
        <v>113</v>
      </c>
    </row>
    <row r="225" spans="3:11" ht="12.75">
      <c r="C225" t="s">
        <v>115</v>
      </c>
      <c r="D225" t="s">
        <v>116</v>
      </c>
      <c r="E225" s="8">
        <f>1*28236.09</f>
        <v>28236.09</v>
      </c>
      <c r="F225" s="8">
        <f>1*25000</f>
        <v>25000</v>
      </c>
      <c r="G225" s="14">
        <f>E225-F225</f>
        <v>3236.09</v>
      </c>
      <c r="H225" s="15">
        <f>IF(F225&lt;&gt;0,G225/F225*100,0)</f>
        <v>12.94436</v>
      </c>
      <c r="J225">
        <v>4</v>
      </c>
      <c r="K225" t="s">
        <v>115</v>
      </c>
    </row>
    <row r="226" spans="3:11" ht="12.75">
      <c r="C226" t="s">
        <v>117</v>
      </c>
      <c r="D226" t="s">
        <v>118</v>
      </c>
      <c r="E226" s="8">
        <f>1*11150.34</f>
        <v>11150.34</v>
      </c>
      <c r="F226" s="8">
        <f>1*12000</f>
        <v>12000</v>
      </c>
      <c r="G226" s="12">
        <f>E226-F226</f>
        <v>-849.6599999999999</v>
      </c>
      <c r="H226" s="13">
        <f>IF(F226&lt;&gt;0,G226/F226*100,0)</f>
        <v>-7.080499999999999</v>
      </c>
      <c r="J226">
        <v>4</v>
      </c>
      <c r="K226" t="s">
        <v>117</v>
      </c>
    </row>
    <row r="227" spans="3:11" ht="12.75">
      <c r="C227" t="s">
        <v>119</v>
      </c>
      <c r="D227" t="s">
        <v>120</v>
      </c>
      <c r="E227" s="8">
        <f>1*43400.82</f>
        <v>43400.82</v>
      </c>
      <c r="F227" s="8">
        <f>1*18000</f>
        <v>18000</v>
      </c>
      <c r="G227" s="14">
        <f>E227-F227</f>
        <v>25400.82</v>
      </c>
      <c r="H227" s="15">
        <f>IF(F227&lt;&gt;0,G227/F227*100,0)</f>
        <v>141.11566666666667</v>
      </c>
      <c r="J227">
        <v>4</v>
      </c>
      <c r="K227" t="s">
        <v>119</v>
      </c>
    </row>
    <row r="228" spans="3:11" ht="12.75">
      <c r="C228" t="s">
        <v>121</v>
      </c>
      <c r="D228" t="s">
        <v>122</v>
      </c>
      <c r="E228" s="8">
        <f>1*10454.5</f>
        <v>10454.5</v>
      </c>
      <c r="F228" s="8">
        <f>1*15000</f>
        <v>15000</v>
      </c>
      <c r="G228" s="12">
        <f>E228-F228</f>
        <v>-4545.5</v>
      </c>
      <c r="H228" s="13">
        <f>IF(F228&lt;&gt;0,G228/F228*100,0)</f>
        <v>-30.30333333333333</v>
      </c>
      <c r="J228">
        <v>4</v>
      </c>
      <c r="K228" t="s">
        <v>121</v>
      </c>
    </row>
    <row r="229" spans="3:11" ht="12.75">
      <c r="C229" t="s">
        <v>123</v>
      </c>
      <c r="D229" t="s">
        <v>122</v>
      </c>
      <c r="E229" s="8">
        <f>1*22701.37</f>
        <v>22701.37</v>
      </c>
      <c r="F229" s="8">
        <f>1*37000</f>
        <v>37000</v>
      </c>
      <c r="G229" s="12">
        <f>E229-F229</f>
        <v>-14298.630000000001</v>
      </c>
      <c r="H229" s="13">
        <f>IF(F229&lt;&gt;0,G229/F229*100,0)</f>
        <v>-38.64494594594595</v>
      </c>
      <c r="J229">
        <v>4</v>
      </c>
      <c r="K229" t="s">
        <v>124</v>
      </c>
    </row>
    <row r="230" spans="3:11" ht="12.75">
      <c r="C230" t="s">
        <v>125</v>
      </c>
      <c r="D230" t="s">
        <v>122</v>
      </c>
      <c r="E230" s="8">
        <f>1*14424.89</f>
        <v>14424.89</v>
      </c>
      <c r="F230" s="8">
        <f>1*15000</f>
        <v>15000</v>
      </c>
      <c r="G230" s="12">
        <f>E230-F230</f>
        <v>-575.1100000000006</v>
      </c>
      <c r="H230" s="13">
        <f>IF(F230&lt;&gt;0,G230/F230*100,0)</f>
        <v>-3.8340666666666703</v>
      </c>
      <c r="J230">
        <v>4</v>
      </c>
      <c r="K230" t="s">
        <v>126</v>
      </c>
    </row>
    <row r="231" spans="3:11" ht="12.75">
      <c r="C231" t="s">
        <v>127</v>
      </c>
      <c r="D231" t="s">
        <v>128</v>
      </c>
      <c r="E231" s="8">
        <f>1*5933.75</f>
        <v>5933.75</v>
      </c>
      <c r="F231" s="8">
        <f>1*5000</f>
        <v>5000</v>
      </c>
      <c r="G231" s="14">
        <f>E231-F231</f>
        <v>933.75</v>
      </c>
      <c r="H231" s="15">
        <f>IF(F231&lt;&gt;0,G231/F231*100,0)</f>
        <v>18.675</v>
      </c>
      <c r="J231">
        <v>4</v>
      </c>
      <c r="K231" t="s">
        <v>127</v>
      </c>
    </row>
    <row r="232" spans="3:11" ht="12.75">
      <c r="C232" t="s">
        <v>129</v>
      </c>
      <c r="D232" t="s">
        <v>128</v>
      </c>
      <c r="E232" s="8">
        <f>1*6407.23</f>
        <v>6407.23</v>
      </c>
      <c r="F232" s="8">
        <f>1*12000</f>
        <v>12000</v>
      </c>
      <c r="G232" s="12">
        <f>E232-F232</f>
        <v>-5592.77</v>
      </c>
      <c r="H232" s="13">
        <f>IF(F232&lt;&gt;0,G232/F232*100,0)</f>
        <v>-46.606416666666675</v>
      </c>
      <c r="J232">
        <v>4</v>
      </c>
      <c r="K232" t="s">
        <v>130</v>
      </c>
    </row>
    <row r="233" spans="3:11" ht="12.75">
      <c r="C233" t="s">
        <v>131</v>
      </c>
      <c r="D233" t="s">
        <v>128</v>
      </c>
      <c r="E233" s="8">
        <f>1*12272.07</f>
        <v>12272.07</v>
      </c>
      <c r="F233" s="8">
        <f>1*12000</f>
        <v>12000</v>
      </c>
      <c r="G233" s="14">
        <f>E233-F233</f>
        <v>272.0699999999997</v>
      </c>
      <c r="H233" s="15">
        <f>IF(F233&lt;&gt;0,G233/F233*100,0)</f>
        <v>2.2672499999999975</v>
      </c>
      <c r="J233">
        <v>4</v>
      </c>
      <c r="K233" t="s">
        <v>132</v>
      </c>
    </row>
    <row r="234" spans="3:11" ht="12.75">
      <c r="C234" t="s">
        <v>133</v>
      </c>
      <c r="D234" t="s">
        <v>135</v>
      </c>
      <c r="E234" s="8">
        <f>1*0</f>
        <v>0</v>
      </c>
      <c r="F234" s="8">
        <f>1*54000</f>
        <v>54000</v>
      </c>
      <c r="G234" s="12">
        <f>E234-F234</f>
        <v>-54000</v>
      </c>
      <c r="H234" s="13">
        <f>IF(F234&lt;&gt;0,G234/F234*100,0)</f>
        <v>-100</v>
      </c>
      <c r="J234">
        <v>4</v>
      </c>
      <c r="K234" t="s">
        <v>134</v>
      </c>
    </row>
    <row r="235" spans="3:11" ht="12.75">
      <c r="C235" t="s">
        <v>136</v>
      </c>
      <c r="D235" t="s">
        <v>135</v>
      </c>
      <c r="E235" s="8">
        <f>1*163436.52</f>
        <v>163436.52</v>
      </c>
      <c r="F235" s="8">
        <f>1*125000</f>
        <v>125000</v>
      </c>
      <c r="G235" s="14">
        <f>E235-F235</f>
        <v>38436.51999999999</v>
      </c>
      <c r="H235" s="15">
        <f>IF(F235&lt;&gt;0,G235/F235*100,0)</f>
        <v>30.74921599999999</v>
      </c>
      <c r="J235">
        <v>4</v>
      </c>
      <c r="K235" t="s">
        <v>137</v>
      </c>
    </row>
    <row r="236" spans="3:11" ht="12.75">
      <c r="C236" t="s">
        <v>138</v>
      </c>
      <c r="D236" t="s">
        <v>140</v>
      </c>
      <c r="E236" s="8">
        <f>1*13462.83</f>
        <v>13462.83</v>
      </c>
      <c r="F236" s="8">
        <f>1*14000</f>
        <v>14000</v>
      </c>
      <c r="G236" s="12">
        <f>E236-F236</f>
        <v>-537.1700000000001</v>
      </c>
      <c r="H236" s="13">
        <f>IF(F236&lt;&gt;0,G236/F236*100,0)</f>
        <v>-3.8369285714285715</v>
      </c>
      <c r="J236">
        <v>4</v>
      </c>
      <c r="K236" t="s">
        <v>139</v>
      </c>
    </row>
    <row r="237" spans="3:11" ht="12.75">
      <c r="C237" t="s">
        <v>141</v>
      </c>
      <c r="D237" t="s">
        <v>140</v>
      </c>
      <c r="E237" s="8">
        <f>1*15912.11</f>
        <v>15912.11</v>
      </c>
      <c r="F237" s="8">
        <f>1*16000</f>
        <v>16000</v>
      </c>
      <c r="G237" s="12">
        <f>E237-F237</f>
        <v>-87.88999999999942</v>
      </c>
      <c r="H237" s="13">
        <f>IF(F237&lt;&gt;0,G237/F237*100,0)</f>
        <v>-0.5493124999999963</v>
      </c>
      <c r="J237">
        <v>4</v>
      </c>
      <c r="K237" t="s">
        <v>142</v>
      </c>
    </row>
    <row r="238" spans="3:11" ht="12.75">
      <c r="C238" t="s">
        <v>143</v>
      </c>
      <c r="D238" t="s">
        <v>144</v>
      </c>
      <c r="E238" s="8">
        <f>1*22049.5</f>
        <v>22049.5</v>
      </c>
      <c r="F238" s="8">
        <f>1*16000</f>
        <v>16000</v>
      </c>
      <c r="G238" s="14">
        <f>E238-F238</f>
        <v>6049.5</v>
      </c>
      <c r="H238" s="15">
        <f>IF(F238&lt;&gt;0,G238/F238*100,0)</f>
        <v>37.809375</v>
      </c>
      <c r="J238">
        <v>4</v>
      </c>
      <c r="K238" t="s">
        <v>143</v>
      </c>
    </row>
    <row r="239" ht="12.75">
      <c r="J239">
        <v>4.1</v>
      </c>
    </row>
    <row r="240" spans="1:11" ht="12.75">
      <c r="A240" t="s">
        <v>16</v>
      </c>
      <c r="B240" s="10">
        <v>43982</v>
      </c>
      <c r="C240" t="s">
        <v>11</v>
      </c>
      <c r="D240" t="s">
        <v>12</v>
      </c>
      <c r="E240" s="8">
        <f>-1*-461459.98</f>
        <v>461459.98</v>
      </c>
      <c r="F240" s="8">
        <f>-1*-400000</f>
        <v>400000</v>
      </c>
      <c r="G240" s="14">
        <f>E240-F240</f>
        <v>61459.97999999998</v>
      </c>
      <c r="H240" s="15">
        <f>IF(F240&lt;&gt;0,G240/F240*100,0)</f>
        <v>15.364994999999995</v>
      </c>
      <c r="J240">
        <v>5</v>
      </c>
      <c r="K240" t="s">
        <v>11</v>
      </c>
    </row>
    <row r="241" spans="3:11" ht="12.75">
      <c r="C241" t="s">
        <v>24</v>
      </c>
      <c r="D241" t="s">
        <v>12</v>
      </c>
      <c r="E241" s="8">
        <f>-1*-495543.7</f>
        <v>495543.7</v>
      </c>
      <c r="F241" s="8">
        <f>-1*-82000</f>
        <v>82000</v>
      </c>
      <c r="G241" s="14">
        <f>E241-F241</f>
        <v>413543.7</v>
      </c>
      <c r="H241" s="15">
        <f>IF(F241&lt;&gt;0,G241/F241*100,0)</f>
        <v>504.32158536585365</v>
      </c>
      <c r="J241">
        <v>5</v>
      </c>
      <c r="K241" t="s">
        <v>25</v>
      </c>
    </row>
    <row r="242" spans="3:11" ht="12.75">
      <c r="C242" t="s">
        <v>26</v>
      </c>
      <c r="D242" t="s">
        <v>12</v>
      </c>
      <c r="E242" s="8">
        <f>-1*-243935.32</f>
        <v>243935.32</v>
      </c>
      <c r="F242" s="8">
        <f>-1*-186000</f>
        <v>186000</v>
      </c>
      <c r="G242" s="14">
        <f>E242-F242</f>
        <v>57935.32000000001</v>
      </c>
      <c r="H242" s="15">
        <f>IF(F242&lt;&gt;0,G242/F242*100,0)</f>
        <v>31.14802150537635</v>
      </c>
      <c r="J242">
        <v>5</v>
      </c>
      <c r="K242" t="s">
        <v>27</v>
      </c>
    </row>
    <row r="243" spans="3:11" ht="12.75">
      <c r="C243" t="s">
        <v>28</v>
      </c>
      <c r="D243" t="s">
        <v>30</v>
      </c>
      <c r="E243" s="8">
        <f>-1*-7068.52</f>
        <v>7068.52</v>
      </c>
      <c r="F243" s="8">
        <f>-1*-5000</f>
        <v>5000</v>
      </c>
      <c r="G243" s="14">
        <f>E243-F243</f>
        <v>2068.5200000000004</v>
      </c>
      <c r="H243" s="15">
        <f>IF(F243&lt;&gt;0,G243/F243*100,0)</f>
        <v>41.370400000000004</v>
      </c>
      <c r="J243">
        <v>5</v>
      </c>
      <c r="K243" t="s">
        <v>29</v>
      </c>
    </row>
    <row r="244" spans="3:11" ht="12.75">
      <c r="C244" t="s">
        <v>31</v>
      </c>
      <c r="D244" t="s">
        <v>30</v>
      </c>
      <c r="E244" s="8">
        <f>-1*-9229.23</f>
        <v>9229.23</v>
      </c>
      <c r="F244" s="8">
        <f>-1*-7000</f>
        <v>7000</v>
      </c>
      <c r="G244" s="14">
        <f>E244-F244</f>
        <v>2229.2299999999996</v>
      </c>
      <c r="H244" s="15">
        <f>IF(F244&lt;&gt;0,G244/F244*100,0)</f>
        <v>31.84614285714285</v>
      </c>
      <c r="J244">
        <v>5</v>
      </c>
      <c r="K244" t="s">
        <v>32</v>
      </c>
    </row>
    <row r="245" spans="3:11" ht="12.75">
      <c r="C245" t="s">
        <v>33</v>
      </c>
      <c r="D245" t="s">
        <v>30</v>
      </c>
      <c r="E245" s="8">
        <f>-1*-13078.36</f>
        <v>13078.36</v>
      </c>
      <c r="F245" s="8">
        <f>-1*-2000</f>
        <v>2000</v>
      </c>
      <c r="G245" s="14">
        <f>E245-F245</f>
        <v>11078.36</v>
      </c>
      <c r="H245" s="15">
        <f>IF(F245&lt;&gt;0,G245/F245*100,0)</f>
        <v>553.918</v>
      </c>
      <c r="J245">
        <v>5</v>
      </c>
      <c r="K245" t="s">
        <v>34</v>
      </c>
    </row>
    <row r="246" spans="3:11" ht="12.75">
      <c r="C246" t="s">
        <v>35</v>
      </c>
      <c r="D246" t="s">
        <v>30</v>
      </c>
      <c r="E246" s="8">
        <f>-1*-2986.76</f>
        <v>2986.76</v>
      </c>
      <c r="F246" s="8">
        <f>-1*-2000</f>
        <v>2000</v>
      </c>
      <c r="G246" s="14">
        <f>E246-F246</f>
        <v>986.7600000000002</v>
      </c>
      <c r="H246" s="15">
        <f>IF(F246&lt;&gt;0,G246/F246*100,0)</f>
        <v>49.33800000000001</v>
      </c>
      <c r="J246">
        <v>5</v>
      </c>
      <c r="K246" t="s">
        <v>36</v>
      </c>
    </row>
    <row r="247" spans="3:11" ht="12.75">
      <c r="C247" t="s">
        <v>37</v>
      </c>
      <c r="D247" t="s">
        <v>30</v>
      </c>
      <c r="E247" s="8">
        <f>-1*-7577.58</f>
        <v>7577.58</v>
      </c>
      <c r="F247" s="8">
        <f>-1*-6000</f>
        <v>6000</v>
      </c>
      <c r="G247" s="14">
        <f>E247-F247</f>
        <v>1577.58</v>
      </c>
      <c r="H247" s="15">
        <f>IF(F247&lt;&gt;0,G247/F247*100,0)</f>
        <v>26.293</v>
      </c>
      <c r="J247">
        <v>5</v>
      </c>
      <c r="K247" t="s">
        <v>38</v>
      </c>
    </row>
    <row r="248" spans="3:11" ht="12.75">
      <c r="C248" t="s">
        <v>39</v>
      </c>
      <c r="D248" t="s">
        <v>30</v>
      </c>
      <c r="E248" s="8">
        <f>-1*-8251.85</f>
        <v>8251.85</v>
      </c>
      <c r="F248" s="8">
        <f>-1*-6000</f>
        <v>6000</v>
      </c>
      <c r="G248" s="14">
        <f>E248-F248</f>
        <v>2251.8500000000004</v>
      </c>
      <c r="H248" s="15">
        <f>IF(F248&lt;&gt;0,G248/F248*100,0)</f>
        <v>37.53083333333334</v>
      </c>
      <c r="J248">
        <v>5</v>
      </c>
      <c r="K248" t="s">
        <v>40</v>
      </c>
    </row>
    <row r="249" spans="3:11" ht="12.75">
      <c r="C249" t="s">
        <v>41</v>
      </c>
      <c r="D249" t="s">
        <v>30</v>
      </c>
      <c r="E249" s="8">
        <f>-1*-4795.04</f>
        <v>4795.04</v>
      </c>
      <c r="F249" s="8">
        <f>-1*-3000</f>
        <v>3000</v>
      </c>
      <c r="G249" s="14">
        <f>E249-F249</f>
        <v>1795.04</v>
      </c>
      <c r="H249" s="15">
        <f>IF(F249&lt;&gt;0,G249/F249*100,0)</f>
        <v>59.83466666666667</v>
      </c>
      <c r="J249">
        <v>5</v>
      </c>
      <c r="K249" t="s">
        <v>42</v>
      </c>
    </row>
    <row r="250" spans="3:11" ht="12.75">
      <c r="C250" t="s">
        <v>43</v>
      </c>
      <c r="D250" t="s">
        <v>30</v>
      </c>
      <c r="E250" s="8">
        <f>-1*-4178.09</f>
        <v>4178.09</v>
      </c>
      <c r="F250" s="8">
        <f>-1*-3000</f>
        <v>3000</v>
      </c>
      <c r="G250" s="14">
        <f>E250-F250</f>
        <v>1178.0900000000001</v>
      </c>
      <c r="H250" s="15">
        <f>IF(F250&lt;&gt;0,G250/F250*100,0)</f>
        <v>39.269666666666666</v>
      </c>
      <c r="J250">
        <v>5</v>
      </c>
      <c r="K250" t="s">
        <v>44</v>
      </c>
    </row>
    <row r="251" spans="3:11" ht="12.75">
      <c r="C251" t="s">
        <v>45</v>
      </c>
      <c r="D251" t="s">
        <v>46</v>
      </c>
      <c r="E251" s="8">
        <f>-1*-108369.28</f>
        <v>108369.28</v>
      </c>
      <c r="F251" s="8">
        <f>-1*-16000</f>
        <v>16000</v>
      </c>
      <c r="G251" s="14">
        <f>E251-F251</f>
        <v>92369.28</v>
      </c>
      <c r="H251" s="15">
        <f>IF(F251&lt;&gt;0,G251/F251*100,0)</f>
        <v>577.308</v>
      </c>
      <c r="J251">
        <v>5</v>
      </c>
      <c r="K251" t="s">
        <v>45</v>
      </c>
    </row>
    <row r="252" spans="3:11" ht="12.75">
      <c r="C252" t="s">
        <v>47</v>
      </c>
      <c r="D252" t="s">
        <v>48</v>
      </c>
      <c r="E252" s="8">
        <f>-1*-336768.25</f>
        <v>336768.25</v>
      </c>
      <c r="F252" s="8">
        <f>-1*-47000</f>
        <v>47000</v>
      </c>
      <c r="G252" s="14">
        <f>E252-F252</f>
        <v>289768.25</v>
      </c>
      <c r="H252" s="15">
        <f>IF(F252&lt;&gt;0,G252/F252*100,0)</f>
        <v>616.5281914893617</v>
      </c>
      <c r="J252">
        <v>5</v>
      </c>
      <c r="K252" t="s">
        <v>47</v>
      </c>
    </row>
    <row r="253" spans="3:11" ht="12.75">
      <c r="C253" t="s">
        <v>49</v>
      </c>
      <c r="D253" t="s">
        <v>50</v>
      </c>
      <c r="E253" s="8">
        <f>-1*-262238.29</f>
        <v>262238.29</v>
      </c>
      <c r="F253" s="8">
        <f>-1*-28000</f>
        <v>28000</v>
      </c>
      <c r="G253" s="14">
        <f>E253-F253</f>
        <v>234238.28999999998</v>
      </c>
      <c r="H253" s="15">
        <f>IF(F253&lt;&gt;0,G253/F253*100,0)</f>
        <v>836.5653214285712</v>
      </c>
      <c r="J253">
        <v>5</v>
      </c>
      <c r="K253" t="s">
        <v>49</v>
      </c>
    </row>
    <row r="254" spans="3:11" ht="12.75">
      <c r="C254" t="s">
        <v>51</v>
      </c>
      <c r="D254" t="s">
        <v>52</v>
      </c>
      <c r="E254" s="8">
        <f>-1*-454840.52</f>
        <v>454840.52</v>
      </c>
      <c r="F254" s="8">
        <f>-1*-60000</f>
        <v>60000</v>
      </c>
      <c r="G254" s="14">
        <f>E254-F254</f>
        <v>394840.52</v>
      </c>
      <c r="H254" s="15">
        <f>IF(F254&lt;&gt;0,G254/F254*100,0)</f>
        <v>658.0675333333334</v>
      </c>
      <c r="J254">
        <v>5</v>
      </c>
      <c r="K254" t="s">
        <v>51</v>
      </c>
    </row>
    <row r="255" spans="3:11" ht="12.75">
      <c r="C255" t="s">
        <v>53</v>
      </c>
      <c r="D255" t="s">
        <v>54</v>
      </c>
      <c r="E255" s="8">
        <f>-1*-84421.54</f>
        <v>84421.54</v>
      </c>
      <c r="F255" s="8">
        <f>-1*-16000</f>
        <v>16000</v>
      </c>
      <c r="G255" s="14">
        <f>E255-F255</f>
        <v>68421.54</v>
      </c>
      <c r="H255" s="15">
        <f>IF(F255&lt;&gt;0,G255/F255*100,0)</f>
        <v>427.63462499999997</v>
      </c>
      <c r="J255">
        <v>5</v>
      </c>
      <c r="K255" t="s">
        <v>53</v>
      </c>
    </row>
    <row r="256" spans="3:11" ht="12.75">
      <c r="C256" t="s">
        <v>55</v>
      </c>
      <c r="D256" t="s">
        <v>56</v>
      </c>
      <c r="E256" s="8">
        <f>1*11631.72</f>
        <v>11631.72</v>
      </c>
      <c r="F256" s="8">
        <f>1*10000</f>
        <v>10000</v>
      </c>
      <c r="G256" s="14">
        <f>E256-F256</f>
        <v>1631.7199999999993</v>
      </c>
      <c r="H256" s="15">
        <f>IF(F256&lt;&gt;0,G256/F256*100,0)</f>
        <v>16.317199999999993</v>
      </c>
      <c r="J256">
        <v>5</v>
      </c>
      <c r="K256" t="s">
        <v>55</v>
      </c>
    </row>
    <row r="257" spans="3:11" ht="12.75">
      <c r="C257" t="s">
        <v>57</v>
      </c>
      <c r="D257" t="s">
        <v>58</v>
      </c>
      <c r="E257" s="8">
        <f>1*121735.67</f>
        <v>121735.67</v>
      </c>
      <c r="F257" s="8">
        <f>1*67000</f>
        <v>67000</v>
      </c>
      <c r="G257" s="14">
        <f>E257-F257</f>
        <v>54735.67</v>
      </c>
      <c r="H257" s="15">
        <f>IF(F257&lt;&gt;0,G257/F257*100,0)</f>
        <v>81.69502985074627</v>
      </c>
      <c r="J257">
        <v>5</v>
      </c>
      <c r="K257" t="s">
        <v>57</v>
      </c>
    </row>
    <row r="258" spans="3:11" ht="12.75">
      <c r="C258" t="s">
        <v>59</v>
      </c>
      <c r="D258" t="s">
        <v>60</v>
      </c>
      <c r="E258" s="8">
        <f>1*24276.16</f>
        <v>24276.16</v>
      </c>
      <c r="F258" s="8">
        <f>1*15000</f>
        <v>15000</v>
      </c>
      <c r="G258" s="14">
        <f>E258-F258</f>
        <v>9276.16</v>
      </c>
      <c r="H258" s="15">
        <f>IF(F258&lt;&gt;0,G258/F258*100,0)</f>
        <v>61.84106666666666</v>
      </c>
      <c r="J258">
        <v>5</v>
      </c>
      <c r="K258" t="s">
        <v>59</v>
      </c>
    </row>
    <row r="259" spans="3:11" ht="12.75">
      <c r="C259" t="s">
        <v>61</v>
      </c>
      <c r="D259" t="s">
        <v>60</v>
      </c>
      <c r="E259" s="8">
        <f>1*8541.86</f>
        <v>8541.86</v>
      </c>
      <c r="F259" s="8">
        <f>1*8000</f>
        <v>8000</v>
      </c>
      <c r="G259" s="14">
        <f>E259-F259</f>
        <v>541.8600000000006</v>
      </c>
      <c r="H259" s="15">
        <f>IF(F259&lt;&gt;0,G259/F259*100,0)</f>
        <v>6.773250000000007</v>
      </c>
      <c r="J259">
        <v>5</v>
      </c>
      <c r="K259" t="s">
        <v>62</v>
      </c>
    </row>
    <row r="260" spans="3:11" ht="12.75">
      <c r="C260" t="s">
        <v>63</v>
      </c>
      <c r="D260" t="s">
        <v>60</v>
      </c>
      <c r="E260" s="8">
        <f>1*8099.36</f>
        <v>8099.36</v>
      </c>
      <c r="F260" s="8">
        <f>1*12000</f>
        <v>12000</v>
      </c>
      <c r="G260" s="12">
        <f>E260-F260</f>
        <v>-3900.6400000000003</v>
      </c>
      <c r="H260" s="13">
        <f>IF(F260&lt;&gt;0,G260/F260*100,0)</f>
        <v>-32.50533333333333</v>
      </c>
      <c r="J260">
        <v>5</v>
      </c>
      <c r="K260" t="s">
        <v>64</v>
      </c>
    </row>
    <row r="261" spans="3:11" ht="12.75">
      <c r="C261" t="s">
        <v>65</v>
      </c>
      <c r="D261" t="s">
        <v>66</v>
      </c>
      <c r="E261" s="8">
        <f>1*149833.58</f>
        <v>149833.58</v>
      </c>
      <c r="F261" s="8">
        <f>1*60000</f>
        <v>60000</v>
      </c>
      <c r="G261" s="14">
        <f>E261-F261</f>
        <v>89833.57999999999</v>
      </c>
      <c r="H261" s="15">
        <f>IF(F261&lt;&gt;0,G261/F261*100,0)</f>
        <v>149.7226333333333</v>
      </c>
      <c r="J261">
        <v>5</v>
      </c>
      <c r="K261" t="s">
        <v>65</v>
      </c>
    </row>
    <row r="262" spans="3:11" ht="12.75">
      <c r="C262" t="s">
        <v>67</v>
      </c>
      <c r="D262" t="s">
        <v>66</v>
      </c>
      <c r="E262" s="8">
        <f>1*0</f>
        <v>0</v>
      </c>
      <c r="F262" s="8">
        <f>1*26000</f>
        <v>26000</v>
      </c>
      <c r="G262" s="12">
        <f>E262-F262</f>
        <v>-26000</v>
      </c>
      <c r="H262" s="13">
        <f>IF(F262&lt;&gt;0,G262/F262*100,0)</f>
        <v>-100</v>
      </c>
      <c r="J262">
        <v>5</v>
      </c>
      <c r="K262" t="s">
        <v>68</v>
      </c>
    </row>
    <row r="263" spans="3:11" ht="12.75">
      <c r="C263" t="s">
        <v>69</v>
      </c>
      <c r="D263" t="s">
        <v>66</v>
      </c>
      <c r="E263" s="8">
        <f>1*36539.73</f>
        <v>36539.73</v>
      </c>
      <c r="F263" s="8">
        <f>1*14000</f>
        <v>14000</v>
      </c>
      <c r="G263" s="14">
        <f>E263-F263</f>
        <v>22539.730000000003</v>
      </c>
      <c r="H263" s="15">
        <f>IF(F263&lt;&gt;0,G263/F263*100,0)</f>
        <v>160.99807142857145</v>
      </c>
      <c r="J263">
        <v>5</v>
      </c>
      <c r="K263" t="s">
        <v>70</v>
      </c>
    </row>
    <row r="264" spans="3:11" ht="12.75">
      <c r="C264" t="s">
        <v>71</v>
      </c>
      <c r="D264" t="s">
        <v>72</v>
      </c>
      <c r="E264" s="8">
        <f>1*29980.84</f>
        <v>29980.84</v>
      </c>
      <c r="F264" s="8">
        <f>1*13000</f>
        <v>13000</v>
      </c>
      <c r="G264" s="14">
        <f>E264-F264</f>
        <v>16980.84</v>
      </c>
      <c r="H264" s="15">
        <f>IF(F264&lt;&gt;0,G264/F264*100,0)</f>
        <v>130.62184615384615</v>
      </c>
      <c r="J264">
        <v>5</v>
      </c>
      <c r="K264" t="s">
        <v>71</v>
      </c>
    </row>
    <row r="265" spans="3:11" ht="12.75">
      <c r="C265" t="s">
        <v>73</v>
      </c>
      <c r="D265" t="s">
        <v>74</v>
      </c>
      <c r="E265" s="8">
        <f>1*5914.71</f>
        <v>5914.71</v>
      </c>
      <c r="F265" s="8">
        <f>1*3000</f>
        <v>3000</v>
      </c>
      <c r="G265" s="14">
        <f>E265-F265</f>
        <v>2914.71</v>
      </c>
      <c r="H265" s="15">
        <f>IF(F265&lt;&gt;0,G265/F265*100,0)</f>
        <v>97.15700000000001</v>
      </c>
      <c r="J265">
        <v>5</v>
      </c>
      <c r="K265" t="s">
        <v>73</v>
      </c>
    </row>
    <row r="266" spans="3:11" ht="12.75">
      <c r="C266" t="s">
        <v>75</v>
      </c>
      <c r="D266" t="s">
        <v>77</v>
      </c>
      <c r="E266" s="8">
        <f>1*1365.63</f>
        <v>1365.63</v>
      </c>
      <c r="F266" s="8">
        <f>1*12000</f>
        <v>12000</v>
      </c>
      <c r="G266" s="12">
        <f>E266-F266</f>
        <v>-10634.369999999999</v>
      </c>
      <c r="H266" s="13">
        <f>IF(F266&lt;&gt;0,G266/F266*100,0)</f>
        <v>-88.61974999999998</v>
      </c>
      <c r="J266">
        <v>5</v>
      </c>
      <c r="K266" t="s">
        <v>76</v>
      </c>
    </row>
    <row r="267" spans="3:11" ht="12.75">
      <c r="C267" t="s">
        <v>78</v>
      </c>
      <c r="D267" t="s">
        <v>77</v>
      </c>
      <c r="E267" s="8">
        <f>1*4747.46</f>
        <v>4747.46</v>
      </c>
      <c r="F267" s="8">
        <f>1*10000</f>
        <v>10000</v>
      </c>
      <c r="G267" s="12">
        <f>E267-F267</f>
        <v>-5252.54</v>
      </c>
      <c r="H267" s="13">
        <f>IF(F267&lt;&gt;0,G267/F267*100,0)</f>
        <v>-52.5254</v>
      </c>
      <c r="J267">
        <v>5</v>
      </c>
      <c r="K267" t="s">
        <v>79</v>
      </c>
    </row>
    <row r="268" spans="3:11" ht="12.75">
      <c r="C268" t="s">
        <v>80</v>
      </c>
      <c r="D268" t="s">
        <v>81</v>
      </c>
      <c r="E268" s="8">
        <f>1*28878.9</f>
        <v>28878.9</v>
      </c>
      <c r="F268" s="8">
        <f>1*16000</f>
        <v>16000</v>
      </c>
      <c r="G268" s="14">
        <f>E268-F268</f>
        <v>12878.900000000001</v>
      </c>
      <c r="H268" s="15">
        <f>IF(F268&lt;&gt;0,G268/F268*100,0)</f>
        <v>80.493125</v>
      </c>
      <c r="J268">
        <v>5</v>
      </c>
      <c r="K268" t="s">
        <v>80</v>
      </c>
    </row>
    <row r="269" spans="3:11" ht="12.75">
      <c r="C269" t="s">
        <v>82</v>
      </c>
      <c r="D269" t="s">
        <v>84</v>
      </c>
      <c r="E269" s="8">
        <f>1*12032.88</f>
        <v>12032.88</v>
      </c>
      <c r="F269" s="8">
        <f>1*13000</f>
        <v>13000</v>
      </c>
      <c r="G269" s="12">
        <f>E269-F269</f>
        <v>-967.1200000000008</v>
      </c>
      <c r="H269" s="13">
        <f>IF(F269&lt;&gt;0,G269/F269*100,0)</f>
        <v>-7.439384615384621</v>
      </c>
      <c r="J269">
        <v>5</v>
      </c>
      <c r="K269" t="s">
        <v>83</v>
      </c>
    </row>
    <row r="270" spans="3:11" ht="12.75">
      <c r="C270" t="s">
        <v>85</v>
      </c>
      <c r="D270" t="s">
        <v>84</v>
      </c>
      <c r="E270" s="8">
        <f>1*12032.88</f>
        <v>12032.88</v>
      </c>
      <c r="F270" s="8">
        <f>1*13000</f>
        <v>13000</v>
      </c>
      <c r="G270" s="12">
        <f>E270-F270</f>
        <v>-967.1200000000008</v>
      </c>
      <c r="H270" s="13">
        <f>IF(F270&lt;&gt;0,G270/F270*100,0)</f>
        <v>-7.439384615384621</v>
      </c>
      <c r="J270">
        <v>5</v>
      </c>
      <c r="K270" t="s">
        <v>86</v>
      </c>
    </row>
    <row r="271" spans="3:11" ht="12.75">
      <c r="C271" t="s">
        <v>87</v>
      </c>
      <c r="D271" t="s">
        <v>88</v>
      </c>
      <c r="E271" s="8">
        <f>1*14606.44</f>
        <v>14606.44</v>
      </c>
      <c r="F271" s="8">
        <f>1*10000</f>
        <v>10000</v>
      </c>
      <c r="G271" s="14">
        <f>E271-F271</f>
        <v>4606.4400000000005</v>
      </c>
      <c r="H271" s="15">
        <f>IF(F271&lt;&gt;0,G271/F271*100,0)</f>
        <v>46.064400000000006</v>
      </c>
      <c r="J271">
        <v>5</v>
      </c>
      <c r="K271" t="s">
        <v>87</v>
      </c>
    </row>
    <row r="272" spans="3:11" ht="12.75">
      <c r="C272" t="s">
        <v>89</v>
      </c>
      <c r="D272" t="s">
        <v>90</v>
      </c>
      <c r="E272" s="8">
        <f>1*52777.73</f>
        <v>52777.73</v>
      </c>
      <c r="F272" s="8">
        <f>1*29000</f>
        <v>29000</v>
      </c>
      <c r="G272" s="14">
        <f>E272-F272</f>
        <v>23777.730000000003</v>
      </c>
      <c r="H272" s="15">
        <f>IF(F272&lt;&gt;0,G272/F272*100,0)</f>
        <v>81.99217241379311</v>
      </c>
      <c r="J272">
        <v>5</v>
      </c>
      <c r="K272" t="s">
        <v>89</v>
      </c>
    </row>
    <row r="273" spans="3:11" ht="12.75">
      <c r="C273" t="s">
        <v>91</v>
      </c>
      <c r="D273" t="s">
        <v>92</v>
      </c>
      <c r="E273" s="8">
        <f>1*5192.64</f>
        <v>5192.64</v>
      </c>
      <c r="F273" s="8">
        <f>1*3000</f>
        <v>3000</v>
      </c>
      <c r="G273" s="14">
        <f>E273-F273</f>
        <v>2192.6400000000003</v>
      </c>
      <c r="H273" s="15">
        <f>IF(F273&lt;&gt;0,G273/F273*100,0)</f>
        <v>73.08800000000001</v>
      </c>
      <c r="J273">
        <v>5</v>
      </c>
      <c r="K273" t="s">
        <v>91</v>
      </c>
    </row>
    <row r="274" spans="3:11" ht="12.75">
      <c r="C274" t="s">
        <v>93</v>
      </c>
      <c r="D274" t="s">
        <v>95</v>
      </c>
      <c r="E274" s="8">
        <f>1*9036.48</f>
        <v>9036.48</v>
      </c>
      <c r="F274" s="8">
        <f>1*12000</f>
        <v>12000</v>
      </c>
      <c r="G274" s="12">
        <f>E274-F274</f>
        <v>-2963.5200000000004</v>
      </c>
      <c r="H274" s="13">
        <f>IF(F274&lt;&gt;0,G274/F274*100,0)</f>
        <v>-24.696000000000005</v>
      </c>
      <c r="J274">
        <v>5</v>
      </c>
      <c r="K274" t="s">
        <v>94</v>
      </c>
    </row>
    <row r="275" spans="3:11" ht="12.75">
      <c r="C275" t="s">
        <v>96</v>
      </c>
      <c r="D275" t="s">
        <v>95</v>
      </c>
      <c r="E275" s="8">
        <f>1*13238.69</f>
        <v>13238.69</v>
      </c>
      <c r="F275" s="8">
        <f>1*17000</f>
        <v>17000</v>
      </c>
      <c r="G275" s="12">
        <f>E275-F275</f>
        <v>-3761.3099999999995</v>
      </c>
      <c r="H275" s="13">
        <f>IF(F275&lt;&gt;0,G275/F275*100,0)</f>
        <v>-22.12535294117647</v>
      </c>
      <c r="J275">
        <v>5</v>
      </c>
      <c r="K275" t="s">
        <v>97</v>
      </c>
    </row>
    <row r="276" spans="3:11" ht="12.75">
      <c r="C276" t="s">
        <v>98</v>
      </c>
      <c r="D276" t="s">
        <v>99</v>
      </c>
      <c r="E276" s="8">
        <f>1*13164.61</f>
        <v>13164.61</v>
      </c>
      <c r="F276" s="8">
        <f>1*7000</f>
        <v>7000</v>
      </c>
      <c r="G276" s="14">
        <f>E276-F276</f>
        <v>6164.610000000001</v>
      </c>
      <c r="H276" s="15">
        <f>IF(F276&lt;&gt;0,G276/F276*100,0)</f>
        <v>88.06585714285715</v>
      </c>
      <c r="J276">
        <v>5</v>
      </c>
      <c r="K276" t="s">
        <v>98</v>
      </c>
    </row>
    <row r="277" spans="3:11" ht="12.75">
      <c r="C277" t="s">
        <v>100</v>
      </c>
      <c r="D277" t="s">
        <v>102</v>
      </c>
      <c r="E277" s="8">
        <f>1*11706.79</f>
        <v>11706.79</v>
      </c>
      <c r="F277" s="8">
        <f>1*18000</f>
        <v>18000</v>
      </c>
      <c r="G277" s="12">
        <f>E277-F277</f>
        <v>-6293.209999999999</v>
      </c>
      <c r="H277" s="13">
        <f>IF(F277&lt;&gt;0,G277/F277*100,0)</f>
        <v>-34.96227777777777</v>
      </c>
      <c r="J277">
        <v>5</v>
      </c>
      <c r="K277" t="s">
        <v>101</v>
      </c>
    </row>
    <row r="278" spans="3:11" ht="12.75">
      <c r="C278" t="s">
        <v>103</v>
      </c>
      <c r="D278" t="s">
        <v>102</v>
      </c>
      <c r="E278" s="8">
        <f>1*12609.88</f>
        <v>12609.88</v>
      </c>
      <c r="F278" s="8">
        <f>1*17000</f>
        <v>17000</v>
      </c>
      <c r="G278" s="12">
        <f>E278-F278</f>
        <v>-4390.120000000001</v>
      </c>
      <c r="H278" s="13">
        <f>IF(F278&lt;&gt;0,G278/F278*100,0)</f>
        <v>-25.824235294117653</v>
      </c>
      <c r="J278">
        <v>5</v>
      </c>
      <c r="K278" t="s">
        <v>104</v>
      </c>
    </row>
    <row r="279" spans="3:11" ht="12.75">
      <c r="C279" t="s">
        <v>105</v>
      </c>
      <c r="D279" t="s">
        <v>106</v>
      </c>
      <c r="E279" s="8">
        <f>1*28324.24</f>
        <v>28324.24</v>
      </c>
      <c r="F279" s="8">
        <f>1*8000</f>
        <v>8000</v>
      </c>
      <c r="G279" s="14">
        <f>E279-F279</f>
        <v>20324.24</v>
      </c>
      <c r="H279" s="15">
        <f>IF(F279&lt;&gt;0,G279/F279*100,0)</f>
        <v>254.05300000000005</v>
      </c>
      <c r="J279">
        <v>5</v>
      </c>
      <c r="K279" t="s">
        <v>105</v>
      </c>
    </row>
    <row r="280" spans="3:11" ht="12.75">
      <c r="C280" t="s">
        <v>107</v>
      </c>
      <c r="D280" t="s">
        <v>108</v>
      </c>
      <c r="E280" s="8">
        <f>1*96152.58</f>
        <v>96152.58</v>
      </c>
      <c r="F280" s="8">
        <f>1*33000</f>
        <v>33000</v>
      </c>
      <c r="G280" s="14">
        <f>E280-F280</f>
        <v>63152.58</v>
      </c>
      <c r="H280" s="15">
        <f>IF(F280&lt;&gt;0,G280/F280*100,0)</f>
        <v>191.37145454545455</v>
      </c>
      <c r="J280">
        <v>5</v>
      </c>
      <c r="K280" t="s">
        <v>107</v>
      </c>
    </row>
    <row r="281" spans="3:11" ht="12.75">
      <c r="C281" t="s">
        <v>109</v>
      </c>
      <c r="D281" t="s">
        <v>110</v>
      </c>
      <c r="E281" s="8">
        <f>1*95207.33</f>
        <v>95207.33</v>
      </c>
      <c r="F281" s="8">
        <f>1*44000</f>
        <v>44000</v>
      </c>
      <c r="G281" s="14">
        <f>E281-F281</f>
        <v>51207.33</v>
      </c>
      <c r="H281" s="15">
        <f>IF(F281&lt;&gt;0,G281/F281*100,0)</f>
        <v>116.38029545454546</v>
      </c>
      <c r="J281">
        <v>5</v>
      </c>
      <c r="K281" t="s">
        <v>109</v>
      </c>
    </row>
    <row r="282" spans="3:11" ht="12.75">
      <c r="C282" t="s">
        <v>111</v>
      </c>
      <c r="D282" t="s">
        <v>112</v>
      </c>
      <c r="E282" s="8">
        <f>1*14710.58</f>
        <v>14710.58</v>
      </c>
      <c r="F282" s="8">
        <f>1*10000</f>
        <v>10000</v>
      </c>
      <c r="G282" s="14">
        <f>E282-F282</f>
        <v>4710.58</v>
      </c>
      <c r="H282" s="15">
        <f>IF(F282&lt;&gt;0,G282/F282*100,0)</f>
        <v>47.105799999999995</v>
      </c>
      <c r="J282">
        <v>5</v>
      </c>
      <c r="K282" t="s">
        <v>111</v>
      </c>
    </row>
    <row r="283" spans="3:11" ht="12.75">
      <c r="C283" t="s">
        <v>113</v>
      </c>
      <c r="D283" t="s">
        <v>114</v>
      </c>
      <c r="E283" s="8">
        <f>1*34480.66</f>
        <v>34480.66</v>
      </c>
      <c r="F283" s="8">
        <f>1*38000</f>
        <v>38000</v>
      </c>
      <c r="G283" s="12">
        <f>E283-F283</f>
        <v>-3519.3399999999965</v>
      </c>
      <c r="H283" s="13">
        <f>IF(F283&lt;&gt;0,G283/F283*100,0)</f>
        <v>-9.26142105263157</v>
      </c>
      <c r="J283">
        <v>5</v>
      </c>
      <c r="K283" t="s">
        <v>113</v>
      </c>
    </row>
    <row r="284" spans="3:11" ht="12.75">
      <c r="C284" t="s">
        <v>115</v>
      </c>
      <c r="D284" t="s">
        <v>116</v>
      </c>
      <c r="E284" s="8">
        <f>1*29202.63</f>
        <v>29202.63</v>
      </c>
      <c r="F284" s="8">
        <f>1*25000</f>
        <v>25000</v>
      </c>
      <c r="G284" s="14">
        <f>E284-F284</f>
        <v>4202.630000000001</v>
      </c>
      <c r="H284" s="15">
        <f>IF(F284&lt;&gt;0,G284/F284*100,0)</f>
        <v>16.810520000000004</v>
      </c>
      <c r="J284">
        <v>5</v>
      </c>
      <c r="K284" t="s">
        <v>115</v>
      </c>
    </row>
    <row r="285" spans="3:11" ht="12.75">
      <c r="C285" t="s">
        <v>117</v>
      </c>
      <c r="D285" t="s">
        <v>118</v>
      </c>
      <c r="E285" s="8">
        <f>1*10621.16</f>
        <v>10621.16</v>
      </c>
      <c r="F285" s="8">
        <f>1*12000</f>
        <v>12000</v>
      </c>
      <c r="G285" s="12">
        <f>E285-F285</f>
        <v>-1378.8400000000001</v>
      </c>
      <c r="H285" s="13">
        <f>IF(F285&lt;&gt;0,G285/F285*100,0)</f>
        <v>-11.490333333333334</v>
      </c>
      <c r="J285">
        <v>5</v>
      </c>
      <c r="K285" t="s">
        <v>117</v>
      </c>
    </row>
    <row r="286" spans="3:11" ht="12.75">
      <c r="C286" t="s">
        <v>119</v>
      </c>
      <c r="D286" t="s">
        <v>120</v>
      </c>
      <c r="E286" s="8">
        <f>1*42432.13</f>
        <v>42432.13</v>
      </c>
      <c r="F286" s="8">
        <f>1*18000</f>
        <v>18000</v>
      </c>
      <c r="G286" s="14">
        <f>E286-F286</f>
        <v>24432.129999999997</v>
      </c>
      <c r="H286" s="15">
        <f>IF(F286&lt;&gt;0,G286/F286*100,0)</f>
        <v>135.73405555555553</v>
      </c>
      <c r="J286">
        <v>5</v>
      </c>
      <c r="K286" t="s">
        <v>119</v>
      </c>
    </row>
    <row r="287" spans="3:11" ht="12.75">
      <c r="C287" t="s">
        <v>121</v>
      </c>
      <c r="D287" t="s">
        <v>122</v>
      </c>
      <c r="E287" s="8">
        <f>1*29379.58</f>
        <v>29379.58</v>
      </c>
      <c r="F287" s="8">
        <f>1*15000</f>
        <v>15000</v>
      </c>
      <c r="G287" s="14">
        <f>E287-F287</f>
        <v>14379.580000000002</v>
      </c>
      <c r="H287" s="15">
        <f>IF(F287&lt;&gt;0,G287/F287*100,0)</f>
        <v>95.86386666666668</v>
      </c>
      <c r="J287">
        <v>5</v>
      </c>
      <c r="K287" t="s">
        <v>121</v>
      </c>
    </row>
    <row r="288" spans="3:11" ht="12.75">
      <c r="C288" t="s">
        <v>123</v>
      </c>
      <c r="D288" t="s">
        <v>122</v>
      </c>
      <c r="E288" s="8">
        <f>1*23737.96</f>
        <v>23737.96</v>
      </c>
      <c r="F288" s="8">
        <f>1*37000</f>
        <v>37000</v>
      </c>
      <c r="G288" s="12">
        <f>E288-F288</f>
        <v>-13262.04</v>
      </c>
      <c r="H288" s="13">
        <f>IF(F288&lt;&gt;0,G288/F288*100,0)</f>
        <v>-35.84335135135135</v>
      </c>
      <c r="J288">
        <v>5</v>
      </c>
      <c r="K288" t="s">
        <v>124</v>
      </c>
    </row>
    <row r="289" spans="3:11" ht="12.75">
      <c r="C289" t="s">
        <v>125</v>
      </c>
      <c r="D289" t="s">
        <v>122</v>
      </c>
      <c r="E289" s="8">
        <f>1*13169.64</f>
        <v>13169.64</v>
      </c>
      <c r="F289" s="8">
        <f>1*15000</f>
        <v>15000</v>
      </c>
      <c r="G289" s="12">
        <f>E289-F289</f>
        <v>-1830.3600000000006</v>
      </c>
      <c r="H289" s="13">
        <f>IF(F289&lt;&gt;0,G289/F289*100,0)</f>
        <v>-12.202400000000004</v>
      </c>
      <c r="J289">
        <v>5</v>
      </c>
      <c r="K289" t="s">
        <v>126</v>
      </c>
    </row>
    <row r="290" spans="3:11" ht="12.75">
      <c r="C290" t="s">
        <v>127</v>
      </c>
      <c r="D290" t="s">
        <v>128</v>
      </c>
      <c r="E290" s="8">
        <f>1*9508.98</f>
        <v>9508.98</v>
      </c>
      <c r="F290" s="8">
        <f>1*5000</f>
        <v>5000</v>
      </c>
      <c r="G290" s="14">
        <f>E290-F290</f>
        <v>4508.98</v>
      </c>
      <c r="H290" s="15">
        <f>IF(F290&lt;&gt;0,G290/F290*100,0)</f>
        <v>90.1796</v>
      </c>
      <c r="J290">
        <v>5</v>
      </c>
      <c r="K290" t="s">
        <v>127</v>
      </c>
    </row>
    <row r="291" spans="3:11" ht="12.75">
      <c r="C291" t="s">
        <v>129</v>
      </c>
      <c r="D291" t="s">
        <v>128</v>
      </c>
      <c r="E291" s="8">
        <f>1*4585.5</f>
        <v>4585.5</v>
      </c>
      <c r="F291" s="8">
        <f>1*12000</f>
        <v>12000</v>
      </c>
      <c r="G291" s="12">
        <f>E291-F291</f>
        <v>-7414.5</v>
      </c>
      <c r="H291" s="13">
        <f>IF(F291&lt;&gt;0,G291/F291*100,0)</f>
        <v>-61.787499999999994</v>
      </c>
      <c r="J291">
        <v>5</v>
      </c>
      <c r="K291" t="s">
        <v>130</v>
      </c>
    </row>
    <row r="292" spans="3:11" ht="12.75">
      <c r="C292" t="s">
        <v>131</v>
      </c>
      <c r="D292" t="s">
        <v>128</v>
      </c>
      <c r="E292" s="8">
        <f>1*12603.71</f>
        <v>12603.71</v>
      </c>
      <c r="F292" s="8">
        <f>1*12000</f>
        <v>12000</v>
      </c>
      <c r="G292" s="14">
        <f>E292-F292</f>
        <v>603.7099999999991</v>
      </c>
      <c r="H292" s="15">
        <f>IF(F292&lt;&gt;0,G292/F292*100,0)</f>
        <v>5.030916666666659</v>
      </c>
      <c r="J292">
        <v>5</v>
      </c>
      <c r="K292" t="s">
        <v>132</v>
      </c>
    </row>
    <row r="293" spans="3:11" ht="12.75">
      <c r="C293" t="s">
        <v>133</v>
      </c>
      <c r="D293" t="s">
        <v>135</v>
      </c>
      <c r="E293" s="8">
        <f>1*0</f>
        <v>0</v>
      </c>
      <c r="F293" s="8">
        <f>1*54000</f>
        <v>54000</v>
      </c>
      <c r="G293" s="12">
        <f>E293-F293</f>
        <v>-54000</v>
      </c>
      <c r="H293" s="13">
        <f>IF(F293&lt;&gt;0,G293/F293*100,0)</f>
        <v>-100</v>
      </c>
      <c r="J293">
        <v>5</v>
      </c>
      <c r="K293" t="s">
        <v>134</v>
      </c>
    </row>
    <row r="294" spans="3:11" ht="12.75">
      <c r="C294" t="s">
        <v>136</v>
      </c>
      <c r="D294" t="s">
        <v>135</v>
      </c>
      <c r="E294" s="8">
        <f>1*155264.7</f>
        <v>155264.7</v>
      </c>
      <c r="F294" s="8">
        <f>1*125000</f>
        <v>125000</v>
      </c>
      <c r="G294" s="14">
        <f>E294-F294</f>
        <v>30264.70000000001</v>
      </c>
      <c r="H294" s="15">
        <f>IF(F294&lt;&gt;0,G294/F294*100,0)</f>
        <v>24.21176000000001</v>
      </c>
      <c r="J294">
        <v>5</v>
      </c>
      <c r="K294" t="s">
        <v>137</v>
      </c>
    </row>
    <row r="295" spans="3:11" ht="12.75">
      <c r="C295" t="s">
        <v>138</v>
      </c>
      <c r="D295" t="s">
        <v>140</v>
      </c>
      <c r="E295" s="8">
        <f>1*12789.69</f>
        <v>12789.69</v>
      </c>
      <c r="F295" s="8">
        <f>1*14000</f>
        <v>14000</v>
      </c>
      <c r="G295" s="12">
        <f>E295-F295</f>
        <v>-1210.3099999999995</v>
      </c>
      <c r="H295" s="13">
        <f>IF(F295&lt;&gt;0,G295/F295*100,0)</f>
        <v>-8.645071428571425</v>
      </c>
      <c r="J295">
        <v>5</v>
      </c>
      <c r="K295" t="s">
        <v>139</v>
      </c>
    </row>
    <row r="296" spans="3:11" ht="12.75">
      <c r="C296" t="s">
        <v>141</v>
      </c>
      <c r="D296" t="s">
        <v>140</v>
      </c>
      <c r="E296" s="8">
        <f>1*15116.5</f>
        <v>15116.5</v>
      </c>
      <c r="F296" s="8">
        <f>1*16000</f>
        <v>16000</v>
      </c>
      <c r="G296" s="12">
        <f>E296-F296</f>
        <v>-883.5</v>
      </c>
      <c r="H296" s="13">
        <f>IF(F296&lt;&gt;0,G296/F296*100,0)</f>
        <v>-5.521875</v>
      </c>
      <c r="J296">
        <v>5</v>
      </c>
      <c r="K296" t="s">
        <v>142</v>
      </c>
    </row>
    <row r="297" spans="3:11" ht="12.75">
      <c r="C297" t="s">
        <v>143</v>
      </c>
      <c r="D297" t="s">
        <v>144</v>
      </c>
      <c r="E297" s="8">
        <f>1*20947.02</f>
        <v>20947.02</v>
      </c>
      <c r="F297" s="8">
        <f>1*16000</f>
        <v>16000</v>
      </c>
      <c r="G297" s="14">
        <f>E297-F297</f>
        <v>4947.02</v>
      </c>
      <c r="H297" s="15">
        <f>IF(F297&lt;&gt;0,G297/F297*100,0)</f>
        <v>30.918875</v>
      </c>
      <c r="J297">
        <v>5</v>
      </c>
      <c r="K297" t="s">
        <v>143</v>
      </c>
    </row>
    <row r="298" ht="12.75">
      <c r="J298">
        <v>5.1</v>
      </c>
    </row>
    <row r="299" spans="1:11" ht="12.75">
      <c r="A299" t="s">
        <v>17</v>
      </c>
      <c r="B299" s="10">
        <v>44012</v>
      </c>
      <c r="C299" t="s">
        <v>11</v>
      </c>
      <c r="D299" t="s">
        <v>12</v>
      </c>
      <c r="E299" s="8">
        <f>-1*-501.13</f>
        <v>501.13</v>
      </c>
      <c r="F299" s="8">
        <f>-1*-400000</f>
        <v>400000</v>
      </c>
      <c r="G299" s="12">
        <f>E299-F299</f>
        <v>-399498.87</v>
      </c>
      <c r="H299" s="13">
        <f>IF(F299&lt;&gt;0,G299/F299*100,0)</f>
        <v>-99.8747175</v>
      </c>
      <c r="J299">
        <v>6</v>
      </c>
      <c r="K299" t="s">
        <v>11</v>
      </c>
    </row>
    <row r="300" spans="3:11" ht="12.75">
      <c r="C300" t="s">
        <v>24</v>
      </c>
      <c r="D300" t="s">
        <v>12</v>
      </c>
      <c r="E300" s="8">
        <f>-1*0</f>
        <v>0</v>
      </c>
      <c r="F300" s="8">
        <f>-1*-82000</f>
        <v>82000</v>
      </c>
      <c r="G300" s="12">
        <f>E300-F300</f>
        <v>-82000</v>
      </c>
      <c r="H300" s="13">
        <f>IF(F300&lt;&gt;0,G300/F300*100,0)</f>
        <v>-100</v>
      </c>
      <c r="J300">
        <v>6</v>
      </c>
      <c r="K300" t="s">
        <v>25</v>
      </c>
    </row>
    <row r="301" spans="3:11" ht="12.75">
      <c r="C301" t="s">
        <v>26</v>
      </c>
      <c r="D301" t="s">
        <v>12</v>
      </c>
      <c r="E301" s="8">
        <f>-1*0</f>
        <v>0</v>
      </c>
      <c r="F301" s="8">
        <f>-1*-186000</f>
        <v>186000</v>
      </c>
      <c r="G301" s="12">
        <f>E301-F301</f>
        <v>-186000</v>
      </c>
      <c r="H301" s="13">
        <f>IF(F301&lt;&gt;0,G301/F301*100,0)</f>
        <v>-100</v>
      </c>
      <c r="J301">
        <v>6</v>
      </c>
      <c r="K301" t="s">
        <v>27</v>
      </c>
    </row>
    <row r="302" spans="3:11" ht="12.75">
      <c r="C302" t="s">
        <v>28</v>
      </c>
      <c r="D302" t="s">
        <v>30</v>
      </c>
      <c r="E302" s="8">
        <f>-1*0</f>
        <v>0</v>
      </c>
      <c r="F302" s="8">
        <f>-1*-5000</f>
        <v>5000</v>
      </c>
      <c r="G302" s="12">
        <f>E302-F302</f>
        <v>-5000</v>
      </c>
      <c r="H302" s="13">
        <f>IF(F302&lt;&gt;0,G302/F302*100,0)</f>
        <v>-100</v>
      </c>
      <c r="J302">
        <v>6</v>
      </c>
      <c r="K302" t="s">
        <v>29</v>
      </c>
    </row>
    <row r="303" spans="3:11" ht="12.75">
      <c r="C303" t="s">
        <v>31</v>
      </c>
      <c r="D303" t="s">
        <v>30</v>
      </c>
      <c r="E303" s="8">
        <f>-1*-3088.52</f>
        <v>3088.52</v>
      </c>
      <c r="F303" s="8">
        <f>-1*-7000</f>
        <v>7000</v>
      </c>
      <c r="G303" s="12">
        <f>E303-F303</f>
        <v>-3911.48</v>
      </c>
      <c r="H303" s="13">
        <f>IF(F303&lt;&gt;0,G303/F303*100,0)</f>
        <v>-55.87828571428572</v>
      </c>
      <c r="J303">
        <v>6</v>
      </c>
      <c r="K303" t="s">
        <v>32</v>
      </c>
    </row>
    <row r="304" spans="3:11" ht="12.75">
      <c r="C304" t="s">
        <v>33</v>
      </c>
      <c r="D304" t="s">
        <v>30</v>
      </c>
      <c r="E304" s="8">
        <f>-1*0</f>
        <v>0</v>
      </c>
      <c r="F304" s="8">
        <f>-1*-2000</f>
        <v>2000</v>
      </c>
      <c r="G304" s="12">
        <f>E304-F304</f>
        <v>-2000</v>
      </c>
      <c r="H304" s="13">
        <f>IF(F304&lt;&gt;0,G304/F304*100,0)</f>
        <v>-100</v>
      </c>
      <c r="J304">
        <v>6</v>
      </c>
      <c r="K304" t="s">
        <v>34</v>
      </c>
    </row>
    <row r="305" spans="3:11" ht="12.75">
      <c r="C305" t="s">
        <v>35</v>
      </c>
      <c r="D305" t="s">
        <v>30</v>
      </c>
      <c r="E305" s="8">
        <f>-1*0</f>
        <v>0</v>
      </c>
      <c r="F305" s="8">
        <f>-1*-2000</f>
        <v>2000</v>
      </c>
      <c r="G305" s="12">
        <f>E305-F305</f>
        <v>-2000</v>
      </c>
      <c r="H305" s="13">
        <f>IF(F305&lt;&gt;0,G305/F305*100,0)</f>
        <v>-100</v>
      </c>
      <c r="J305">
        <v>6</v>
      </c>
      <c r="K305" t="s">
        <v>36</v>
      </c>
    </row>
    <row r="306" spans="3:11" ht="12.75">
      <c r="C306" t="s">
        <v>37</v>
      </c>
      <c r="D306" t="s">
        <v>30</v>
      </c>
      <c r="E306" s="8">
        <f>-1*0</f>
        <v>0</v>
      </c>
      <c r="F306" s="8">
        <f>-1*-6000</f>
        <v>6000</v>
      </c>
      <c r="G306" s="12">
        <f>E306-F306</f>
        <v>-6000</v>
      </c>
      <c r="H306" s="13">
        <f>IF(F306&lt;&gt;0,G306/F306*100,0)</f>
        <v>-100</v>
      </c>
      <c r="J306">
        <v>6</v>
      </c>
      <c r="K306" t="s">
        <v>38</v>
      </c>
    </row>
    <row r="307" spans="3:11" ht="12.75">
      <c r="C307" t="s">
        <v>39</v>
      </c>
      <c r="D307" t="s">
        <v>30</v>
      </c>
      <c r="E307" s="8">
        <f>-1*0</f>
        <v>0</v>
      </c>
      <c r="F307" s="8">
        <f>-1*-6000</f>
        <v>6000</v>
      </c>
      <c r="G307" s="12">
        <f>E307-F307</f>
        <v>-6000</v>
      </c>
      <c r="H307" s="13">
        <f>IF(F307&lt;&gt;0,G307/F307*100,0)</f>
        <v>-100</v>
      </c>
      <c r="J307">
        <v>6</v>
      </c>
      <c r="K307" t="s">
        <v>40</v>
      </c>
    </row>
    <row r="308" spans="3:11" ht="12.75">
      <c r="C308" t="s">
        <v>41</v>
      </c>
      <c r="D308" t="s">
        <v>30</v>
      </c>
      <c r="E308" s="8">
        <f>-1*0</f>
        <v>0</v>
      </c>
      <c r="F308" s="8">
        <f>-1*-3000</f>
        <v>3000</v>
      </c>
      <c r="G308" s="12">
        <f>E308-F308</f>
        <v>-3000</v>
      </c>
      <c r="H308" s="13">
        <f>IF(F308&lt;&gt;0,G308/F308*100,0)</f>
        <v>-100</v>
      </c>
      <c r="J308">
        <v>6</v>
      </c>
      <c r="K308" t="s">
        <v>42</v>
      </c>
    </row>
    <row r="309" spans="3:11" ht="12.75">
      <c r="C309" t="s">
        <v>43</v>
      </c>
      <c r="D309" t="s">
        <v>30</v>
      </c>
      <c r="E309" s="8">
        <f>-1*0</f>
        <v>0</v>
      </c>
      <c r="F309" s="8">
        <f>-1*-3000</f>
        <v>3000</v>
      </c>
      <c r="G309" s="12">
        <f>E309-F309</f>
        <v>-3000</v>
      </c>
      <c r="H309" s="13">
        <f>IF(F309&lt;&gt;0,G309/F309*100,0)</f>
        <v>-100</v>
      </c>
      <c r="J309">
        <v>6</v>
      </c>
      <c r="K309" t="s">
        <v>44</v>
      </c>
    </row>
    <row r="310" spans="3:11" ht="12.75">
      <c r="C310" t="s">
        <v>45</v>
      </c>
      <c r="D310" t="s">
        <v>46</v>
      </c>
      <c r="E310" s="8">
        <f>-1*0</f>
        <v>0</v>
      </c>
      <c r="F310" s="8">
        <f>-1*-16000</f>
        <v>16000</v>
      </c>
      <c r="G310" s="12">
        <f>E310-F310</f>
        <v>-16000</v>
      </c>
      <c r="H310" s="13">
        <f>IF(F310&lt;&gt;0,G310/F310*100,0)</f>
        <v>-100</v>
      </c>
      <c r="J310">
        <v>6</v>
      </c>
      <c r="K310" t="s">
        <v>45</v>
      </c>
    </row>
    <row r="311" spans="3:11" ht="12.75">
      <c r="C311" t="s">
        <v>47</v>
      </c>
      <c r="D311" t="s">
        <v>48</v>
      </c>
      <c r="E311" s="8">
        <f>-1*-1235.84</f>
        <v>1235.84</v>
      </c>
      <c r="F311" s="8">
        <f>-1*-47000</f>
        <v>47000</v>
      </c>
      <c r="G311" s="12">
        <f>E311-F311</f>
        <v>-45764.16</v>
      </c>
      <c r="H311" s="13">
        <f>IF(F311&lt;&gt;0,G311/F311*100,0)</f>
        <v>-97.37055319148938</v>
      </c>
      <c r="J311">
        <v>6</v>
      </c>
      <c r="K311" t="s">
        <v>47</v>
      </c>
    </row>
    <row r="312" spans="3:11" ht="12.75">
      <c r="C312" t="s">
        <v>49</v>
      </c>
      <c r="D312" t="s">
        <v>50</v>
      </c>
      <c r="E312" s="8">
        <f>-1*0</f>
        <v>0</v>
      </c>
      <c r="F312" s="8">
        <f>-1*-28000</f>
        <v>28000</v>
      </c>
      <c r="G312" s="12">
        <f>E312-F312</f>
        <v>-28000</v>
      </c>
      <c r="H312" s="13">
        <f>IF(F312&lt;&gt;0,G312/F312*100,0)</f>
        <v>-100</v>
      </c>
      <c r="J312">
        <v>6</v>
      </c>
      <c r="K312" t="s">
        <v>49</v>
      </c>
    </row>
    <row r="313" spans="3:11" ht="12.75">
      <c r="C313" t="s">
        <v>51</v>
      </c>
      <c r="D313" t="s">
        <v>52</v>
      </c>
      <c r="E313" s="8">
        <f>-1*0</f>
        <v>0</v>
      </c>
      <c r="F313" s="8">
        <f>-1*-60000</f>
        <v>60000</v>
      </c>
      <c r="G313" s="12">
        <f>E313-F313</f>
        <v>-60000</v>
      </c>
      <c r="H313" s="13">
        <f>IF(F313&lt;&gt;0,G313/F313*100,0)</f>
        <v>-100</v>
      </c>
      <c r="J313">
        <v>6</v>
      </c>
      <c r="K313" t="s">
        <v>51</v>
      </c>
    </row>
    <row r="314" spans="3:11" ht="12.75">
      <c r="C314" t="s">
        <v>53</v>
      </c>
      <c r="D314" t="s">
        <v>54</v>
      </c>
      <c r="E314" s="8">
        <f>-1*0</f>
        <v>0</v>
      </c>
      <c r="F314" s="8">
        <f>-1*-16000</f>
        <v>16000</v>
      </c>
      <c r="G314" s="12">
        <f>E314-F314</f>
        <v>-16000</v>
      </c>
      <c r="H314" s="13">
        <f>IF(F314&lt;&gt;0,G314/F314*100,0)</f>
        <v>-100</v>
      </c>
      <c r="J314">
        <v>6</v>
      </c>
      <c r="K314" t="s">
        <v>53</v>
      </c>
    </row>
    <row r="315" spans="3:11" ht="12.75">
      <c r="C315" t="s">
        <v>55</v>
      </c>
      <c r="D315" t="s">
        <v>56</v>
      </c>
      <c r="E315" s="8">
        <f>1*0</f>
        <v>0</v>
      </c>
      <c r="F315" s="8">
        <f>1*10000</f>
        <v>10000</v>
      </c>
      <c r="G315" s="12">
        <f>E315-F315</f>
        <v>-10000</v>
      </c>
      <c r="H315" s="13">
        <f>IF(F315&lt;&gt;0,G315/F315*100,0)</f>
        <v>-100</v>
      </c>
      <c r="J315">
        <v>6</v>
      </c>
      <c r="K315" t="s">
        <v>55</v>
      </c>
    </row>
    <row r="316" spans="3:11" ht="12.75">
      <c r="C316" t="s">
        <v>57</v>
      </c>
      <c r="D316" t="s">
        <v>58</v>
      </c>
      <c r="E316" s="8">
        <f>1*0</f>
        <v>0</v>
      </c>
      <c r="F316" s="8">
        <f>1*67000</f>
        <v>67000</v>
      </c>
      <c r="G316" s="12">
        <f>E316-F316</f>
        <v>-67000</v>
      </c>
      <c r="H316" s="13">
        <f>IF(F316&lt;&gt;0,G316/F316*100,0)</f>
        <v>-100</v>
      </c>
      <c r="J316">
        <v>6</v>
      </c>
      <c r="K316" t="s">
        <v>57</v>
      </c>
    </row>
    <row r="317" spans="3:11" ht="12.75">
      <c r="C317" t="s">
        <v>59</v>
      </c>
      <c r="D317" t="s">
        <v>60</v>
      </c>
      <c r="E317" s="8">
        <f>1*0</f>
        <v>0</v>
      </c>
      <c r="F317" s="8">
        <f>1*15000</f>
        <v>15000</v>
      </c>
      <c r="G317" s="12">
        <f>E317-F317</f>
        <v>-15000</v>
      </c>
      <c r="H317" s="13">
        <f>IF(F317&lt;&gt;0,G317/F317*100,0)</f>
        <v>-100</v>
      </c>
      <c r="J317">
        <v>6</v>
      </c>
      <c r="K317" t="s">
        <v>59</v>
      </c>
    </row>
    <row r="318" spans="3:11" ht="12.75">
      <c r="C318" t="s">
        <v>61</v>
      </c>
      <c r="D318" t="s">
        <v>60</v>
      </c>
      <c r="E318" s="8">
        <f>1*0</f>
        <v>0</v>
      </c>
      <c r="F318" s="8">
        <f>1*8000</f>
        <v>8000</v>
      </c>
      <c r="G318" s="12">
        <f>E318-F318</f>
        <v>-8000</v>
      </c>
      <c r="H318" s="13">
        <f>IF(F318&lt;&gt;0,G318/F318*100,0)</f>
        <v>-100</v>
      </c>
      <c r="J318">
        <v>6</v>
      </c>
      <c r="K318" t="s">
        <v>62</v>
      </c>
    </row>
    <row r="319" spans="3:11" ht="12.75">
      <c r="C319" t="s">
        <v>63</v>
      </c>
      <c r="D319" t="s">
        <v>60</v>
      </c>
      <c r="E319" s="8">
        <f>1*0</f>
        <v>0</v>
      </c>
      <c r="F319" s="8">
        <f>1*12000</f>
        <v>12000</v>
      </c>
      <c r="G319" s="12">
        <f>E319-F319</f>
        <v>-12000</v>
      </c>
      <c r="H319" s="13">
        <f>IF(F319&lt;&gt;0,G319/F319*100,0)</f>
        <v>-100</v>
      </c>
      <c r="J319">
        <v>6</v>
      </c>
      <c r="K319" t="s">
        <v>64</v>
      </c>
    </row>
    <row r="320" spans="3:11" ht="12.75">
      <c r="C320" t="s">
        <v>65</v>
      </c>
      <c r="D320" t="s">
        <v>66</v>
      </c>
      <c r="E320" s="8">
        <f>1*0</f>
        <v>0</v>
      </c>
      <c r="F320" s="8">
        <f>1*60000</f>
        <v>60000</v>
      </c>
      <c r="G320" s="12">
        <f>E320-F320</f>
        <v>-60000</v>
      </c>
      <c r="H320" s="13">
        <f>IF(F320&lt;&gt;0,G320/F320*100,0)</f>
        <v>-100</v>
      </c>
      <c r="J320">
        <v>6</v>
      </c>
      <c r="K320" t="s">
        <v>65</v>
      </c>
    </row>
    <row r="321" spans="3:11" ht="12.75">
      <c r="C321" t="s">
        <v>67</v>
      </c>
      <c r="D321" t="s">
        <v>66</v>
      </c>
      <c r="E321" s="8">
        <f>1*0</f>
        <v>0</v>
      </c>
      <c r="F321" s="8">
        <f>1*26000</f>
        <v>26000</v>
      </c>
      <c r="G321" s="12">
        <f>E321-F321</f>
        <v>-26000</v>
      </c>
      <c r="H321" s="13">
        <f>IF(F321&lt;&gt;0,G321/F321*100,0)</f>
        <v>-100</v>
      </c>
      <c r="J321">
        <v>6</v>
      </c>
      <c r="K321" t="s">
        <v>68</v>
      </c>
    </row>
    <row r="322" spans="3:11" ht="12.75">
      <c r="C322" t="s">
        <v>69</v>
      </c>
      <c r="D322" t="s">
        <v>66</v>
      </c>
      <c r="E322" s="8">
        <f>1*0</f>
        <v>0</v>
      </c>
      <c r="F322" s="8">
        <f>1*14000</f>
        <v>14000</v>
      </c>
      <c r="G322" s="12">
        <f>E322-F322</f>
        <v>-14000</v>
      </c>
      <c r="H322" s="13">
        <f>IF(F322&lt;&gt;0,G322/F322*100,0)</f>
        <v>-100</v>
      </c>
      <c r="J322">
        <v>6</v>
      </c>
      <c r="K322" t="s">
        <v>70</v>
      </c>
    </row>
    <row r="323" spans="3:11" ht="12.75">
      <c r="C323" t="s">
        <v>71</v>
      </c>
      <c r="D323" t="s">
        <v>72</v>
      </c>
      <c r="E323" s="8">
        <f>1*343.35</f>
        <v>343.35</v>
      </c>
      <c r="F323" s="8">
        <f>1*13000</f>
        <v>13000</v>
      </c>
      <c r="G323" s="12">
        <f>E323-F323</f>
        <v>-12656.65</v>
      </c>
      <c r="H323" s="13">
        <f>IF(F323&lt;&gt;0,G323/F323*100,0)</f>
        <v>-97.35884615384614</v>
      </c>
      <c r="J323">
        <v>6</v>
      </c>
      <c r="K323" t="s">
        <v>71</v>
      </c>
    </row>
    <row r="324" spans="3:11" ht="12.75">
      <c r="C324" t="s">
        <v>73</v>
      </c>
      <c r="D324" t="s">
        <v>74</v>
      </c>
      <c r="E324" s="8">
        <f>1*0</f>
        <v>0</v>
      </c>
      <c r="F324" s="8">
        <f>1*3000</f>
        <v>3000</v>
      </c>
      <c r="G324" s="12">
        <f>E324-F324</f>
        <v>-3000</v>
      </c>
      <c r="H324" s="13">
        <f>IF(F324&lt;&gt;0,G324/F324*100,0)</f>
        <v>-100</v>
      </c>
      <c r="J324">
        <v>6</v>
      </c>
      <c r="K324" t="s">
        <v>73</v>
      </c>
    </row>
    <row r="325" spans="3:11" ht="12.75">
      <c r="C325" t="s">
        <v>75</v>
      </c>
      <c r="D325" t="s">
        <v>77</v>
      </c>
      <c r="E325" s="8">
        <f>1*0</f>
        <v>0</v>
      </c>
      <c r="F325" s="8">
        <f>1*12000</f>
        <v>12000</v>
      </c>
      <c r="G325" s="12">
        <f>E325-F325</f>
        <v>-12000</v>
      </c>
      <c r="H325" s="13">
        <f>IF(F325&lt;&gt;0,G325/F325*100,0)</f>
        <v>-100</v>
      </c>
      <c r="J325">
        <v>6</v>
      </c>
      <c r="K325" t="s">
        <v>76</v>
      </c>
    </row>
    <row r="326" spans="3:11" ht="12.75">
      <c r="C326" t="s">
        <v>78</v>
      </c>
      <c r="D326" t="s">
        <v>77</v>
      </c>
      <c r="E326" s="8">
        <f>1*0</f>
        <v>0</v>
      </c>
      <c r="F326" s="8">
        <f>1*10000</f>
        <v>10000</v>
      </c>
      <c r="G326" s="12">
        <f>E326-F326</f>
        <v>-10000</v>
      </c>
      <c r="H326" s="13">
        <f>IF(F326&lt;&gt;0,G326/F326*100,0)</f>
        <v>-100</v>
      </c>
      <c r="J326">
        <v>6</v>
      </c>
      <c r="K326" t="s">
        <v>79</v>
      </c>
    </row>
    <row r="327" spans="3:11" ht="12.75">
      <c r="C327" t="s">
        <v>80</v>
      </c>
      <c r="D327" t="s">
        <v>81</v>
      </c>
      <c r="E327" s="8">
        <f>1*0</f>
        <v>0</v>
      </c>
      <c r="F327" s="8">
        <f>1*16000</f>
        <v>16000</v>
      </c>
      <c r="G327" s="12">
        <f>E327-F327</f>
        <v>-16000</v>
      </c>
      <c r="H327" s="13">
        <f>IF(F327&lt;&gt;0,G327/F327*100,0)</f>
        <v>-100</v>
      </c>
      <c r="J327">
        <v>6</v>
      </c>
      <c r="K327" t="s">
        <v>80</v>
      </c>
    </row>
    <row r="328" spans="3:11" ht="12.75">
      <c r="C328" t="s">
        <v>82</v>
      </c>
      <c r="D328" t="s">
        <v>84</v>
      </c>
      <c r="E328" s="8">
        <f>1*0</f>
        <v>0</v>
      </c>
      <c r="F328" s="8">
        <f>1*13000</f>
        <v>13000</v>
      </c>
      <c r="G328" s="12">
        <f>E328-F328</f>
        <v>-13000</v>
      </c>
      <c r="H328" s="13">
        <f>IF(F328&lt;&gt;0,G328/F328*100,0)</f>
        <v>-100</v>
      </c>
      <c r="J328">
        <v>6</v>
      </c>
      <c r="K328" t="s">
        <v>83</v>
      </c>
    </row>
    <row r="329" spans="3:11" ht="12.75">
      <c r="C329" t="s">
        <v>85</v>
      </c>
      <c r="D329" t="s">
        <v>84</v>
      </c>
      <c r="E329" s="8">
        <f>1*0</f>
        <v>0</v>
      </c>
      <c r="F329" s="8">
        <f>1*13000</f>
        <v>13000</v>
      </c>
      <c r="G329" s="12">
        <f>E329-F329</f>
        <v>-13000</v>
      </c>
      <c r="H329" s="13">
        <f>IF(F329&lt;&gt;0,G329/F329*100,0)</f>
        <v>-100</v>
      </c>
      <c r="J329">
        <v>6</v>
      </c>
      <c r="K329" t="s">
        <v>86</v>
      </c>
    </row>
    <row r="330" spans="3:11" ht="12.75">
      <c r="C330" t="s">
        <v>87</v>
      </c>
      <c r="D330" t="s">
        <v>88</v>
      </c>
      <c r="E330" s="8">
        <f>1*4320.38</f>
        <v>4320.38</v>
      </c>
      <c r="F330" s="8">
        <f>1*10000</f>
        <v>10000</v>
      </c>
      <c r="G330" s="12">
        <f>E330-F330</f>
        <v>-5679.62</v>
      </c>
      <c r="H330" s="13">
        <f>IF(F330&lt;&gt;0,G330/F330*100,0)</f>
        <v>-56.7962</v>
      </c>
      <c r="J330">
        <v>6</v>
      </c>
      <c r="K330" t="s">
        <v>87</v>
      </c>
    </row>
    <row r="331" spans="3:11" ht="12.75">
      <c r="C331" t="s">
        <v>89</v>
      </c>
      <c r="D331" t="s">
        <v>90</v>
      </c>
      <c r="E331" s="8">
        <f>1*0</f>
        <v>0</v>
      </c>
      <c r="F331" s="8">
        <f>1*29000</f>
        <v>29000</v>
      </c>
      <c r="G331" s="12">
        <f>E331-F331</f>
        <v>-29000</v>
      </c>
      <c r="H331" s="13">
        <f>IF(F331&lt;&gt;0,G331/F331*100,0)</f>
        <v>-100</v>
      </c>
      <c r="J331">
        <v>6</v>
      </c>
      <c r="K331" t="s">
        <v>89</v>
      </c>
    </row>
    <row r="332" spans="3:11" ht="12.75">
      <c r="C332" t="s">
        <v>91</v>
      </c>
      <c r="D332" t="s">
        <v>92</v>
      </c>
      <c r="E332" s="8">
        <f>1*0</f>
        <v>0</v>
      </c>
      <c r="F332" s="8">
        <f>1*3000</f>
        <v>3000</v>
      </c>
      <c r="G332" s="12">
        <f>E332-F332</f>
        <v>-3000</v>
      </c>
      <c r="H332" s="13">
        <f>IF(F332&lt;&gt;0,G332/F332*100,0)</f>
        <v>-100</v>
      </c>
      <c r="J332">
        <v>6</v>
      </c>
      <c r="K332" t="s">
        <v>91</v>
      </c>
    </row>
    <row r="333" spans="3:11" ht="12.75">
      <c r="C333" t="s">
        <v>93</v>
      </c>
      <c r="D333" t="s">
        <v>95</v>
      </c>
      <c r="E333" s="8">
        <f>1*0</f>
        <v>0</v>
      </c>
      <c r="F333" s="8">
        <f>1*12000</f>
        <v>12000</v>
      </c>
      <c r="G333" s="12">
        <f>E333-F333</f>
        <v>-12000</v>
      </c>
      <c r="H333" s="13">
        <f>IF(F333&lt;&gt;0,G333/F333*100,0)</f>
        <v>-100</v>
      </c>
      <c r="J333">
        <v>6</v>
      </c>
      <c r="K333" t="s">
        <v>94</v>
      </c>
    </row>
    <row r="334" spans="3:11" ht="12.75">
      <c r="C334" t="s">
        <v>96</v>
      </c>
      <c r="D334" t="s">
        <v>95</v>
      </c>
      <c r="E334" s="8">
        <f>1*0</f>
        <v>0</v>
      </c>
      <c r="F334" s="8">
        <f>1*17000</f>
        <v>17000</v>
      </c>
      <c r="G334" s="12">
        <f>E334-F334</f>
        <v>-17000</v>
      </c>
      <c r="H334" s="13">
        <f>IF(F334&lt;&gt;0,G334/F334*100,0)</f>
        <v>-100</v>
      </c>
      <c r="J334">
        <v>6</v>
      </c>
      <c r="K334" t="s">
        <v>97</v>
      </c>
    </row>
    <row r="335" spans="3:11" ht="12.75">
      <c r="C335" t="s">
        <v>98</v>
      </c>
      <c r="D335" t="s">
        <v>99</v>
      </c>
      <c r="E335" s="8">
        <f>1*0</f>
        <v>0</v>
      </c>
      <c r="F335" s="8">
        <f>1*7000</f>
        <v>7000</v>
      </c>
      <c r="G335" s="12">
        <f>E335-F335</f>
        <v>-7000</v>
      </c>
      <c r="H335" s="13">
        <f>IF(F335&lt;&gt;0,G335/F335*100,0)</f>
        <v>-100</v>
      </c>
      <c r="J335">
        <v>6</v>
      </c>
      <c r="K335" t="s">
        <v>98</v>
      </c>
    </row>
    <row r="336" spans="3:11" ht="12.75">
      <c r="C336" t="s">
        <v>100</v>
      </c>
      <c r="D336" t="s">
        <v>102</v>
      </c>
      <c r="E336" s="8">
        <f>1*0</f>
        <v>0</v>
      </c>
      <c r="F336" s="8">
        <f>1*18000</f>
        <v>18000</v>
      </c>
      <c r="G336" s="12">
        <f>E336-F336</f>
        <v>-18000</v>
      </c>
      <c r="H336" s="13">
        <f>IF(F336&lt;&gt;0,G336/F336*100,0)</f>
        <v>-100</v>
      </c>
      <c r="J336">
        <v>6</v>
      </c>
      <c r="K336" t="s">
        <v>101</v>
      </c>
    </row>
    <row r="337" spans="3:11" ht="12.75">
      <c r="C337" t="s">
        <v>103</v>
      </c>
      <c r="D337" t="s">
        <v>102</v>
      </c>
      <c r="E337" s="8">
        <f>1*0</f>
        <v>0</v>
      </c>
      <c r="F337" s="8">
        <f>1*17000</f>
        <v>17000</v>
      </c>
      <c r="G337" s="12">
        <f>E337-F337</f>
        <v>-17000</v>
      </c>
      <c r="H337" s="13">
        <f>IF(F337&lt;&gt;0,G337/F337*100,0)</f>
        <v>-100</v>
      </c>
      <c r="J337">
        <v>6</v>
      </c>
      <c r="K337" t="s">
        <v>104</v>
      </c>
    </row>
    <row r="338" spans="3:11" ht="12.75">
      <c r="C338" t="s">
        <v>105</v>
      </c>
      <c r="D338" t="s">
        <v>106</v>
      </c>
      <c r="E338" s="8">
        <f>1*0</f>
        <v>0</v>
      </c>
      <c r="F338" s="8">
        <f>1*8000</f>
        <v>8000</v>
      </c>
      <c r="G338" s="12">
        <f>E338-F338</f>
        <v>-8000</v>
      </c>
      <c r="H338" s="13">
        <f>IF(F338&lt;&gt;0,G338/F338*100,0)</f>
        <v>-100</v>
      </c>
      <c r="J338">
        <v>6</v>
      </c>
      <c r="K338" t="s">
        <v>105</v>
      </c>
    </row>
    <row r="339" spans="3:11" ht="12.75">
      <c r="C339" t="s">
        <v>107</v>
      </c>
      <c r="D339" t="s">
        <v>108</v>
      </c>
      <c r="E339" s="8">
        <f>1*2.27</f>
        <v>2.27</v>
      </c>
      <c r="F339" s="8">
        <f>1*33000</f>
        <v>33000</v>
      </c>
      <c r="G339" s="12">
        <f>E339-F339</f>
        <v>-32997.73</v>
      </c>
      <c r="H339" s="13">
        <f>IF(F339&lt;&gt;0,G339/F339*100,0)</f>
        <v>-99.99312121212121</v>
      </c>
      <c r="J339">
        <v>6</v>
      </c>
      <c r="K339" t="s">
        <v>107</v>
      </c>
    </row>
    <row r="340" spans="3:11" ht="12.75">
      <c r="C340" t="s">
        <v>109</v>
      </c>
      <c r="D340" t="s">
        <v>110</v>
      </c>
      <c r="E340" s="8">
        <f>1*0</f>
        <v>0</v>
      </c>
      <c r="F340" s="8">
        <f>1*44000</f>
        <v>44000</v>
      </c>
      <c r="G340" s="12">
        <f>E340-F340</f>
        <v>-44000</v>
      </c>
      <c r="H340" s="13">
        <f>IF(F340&lt;&gt;0,G340/F340*100,0)</f>
        <v>-100</v>
      </c>
      <c r="J340">
        <v>6</v>
      </c>
      <c r="K340" t="s">
        <v>109</v>
      </c>
    </row>
    <row r="341" spans="3:11" ht="12.75">
      <c r="C341" t="s">
        <v>111</v>
      </c>
      <c r="D341" t="s">
        <v>112</v>
      </c>
      <c r="E341" s="8">
        <f>1*0</f>
        <v>0</v>
      </c>
      <c r="F341" s="8">
        <f>1*10000</f>
        <v>10000</v>
      </c>
      <c r="G341" s="12">
        <f>E341-F341</f>
        <v>-10000</v>
      </c>
      <c r="H341" s="13">
        <f>IF(F341&lt;&gt;0,G341/F341*100,0)</f>
        <v>-100</v>
      </c>
      <c r="J341">
        <v>6</v>
      </c>
      <c r="K341" t="s">
        <v>111</v>
      </c>
    </row>
    <row r="342" spans="3:11" ht="12.75">
      <c r="C342" t="s">
        <v>113</v>
      </c>
      <c r="D342" t="s">
        <v>114</v>
      </c>
      <c r="E342" s="8">
        <f>1*0</f>
        <v>0</v>
      </c>
      <c r="F342" s="8">
        <f>1*38000</f>
        <v>38000</v>
      </c>
      <c r="G342" s="12">
        <f>E342-F342</f>
        <v>-38000</v>
      </c>
      <c r="H342" s="13">
        <f>IF(F342&lt;&gt;0,G342/F342*100,0)</f>
        <v>-100</v>
      </c>
      <c r="J342">
        <v>6</v>
      </c>
      <c r="K342" t="s">
        <v>113</v>
      </c>
    </row>
    <row r="343" spans="3:11" ht="12.75">
      <c r="C343" t="s">
        <v>115</v>
      </c>
      <c r="D343" t="s">
        <v>116</v>
      </c>
      <c r="E343" s="8">
        <f>1*0</f>
        <v>0</v>
      </c>
      <c r="F343" s="8">
        <f>1*25000</f>
        <v>25000</v>
      </c>
      <c r="G343" s="12">
        <f>E343-F343</f>
        <v>-25000</v>
      </c>
      <c r="H343" s="13">
        <f>IF(F343&lt;&gt;0,G343/F343*100,0)</f>
        <v>-100</v>
      </c>
      <c r="J343">
        <v>6</v>
      </c>
      <c r="K343" t="s">
        <v>115</v>
      </c>
    </row>
    <row r="344" spans="3:11" ht="12.75">
      <c r="C344" t="s">
        <v>117</v>
      </c>
      <c r="D344" t="s">
        <v>118</v>
      </c>
      <c r="E344" s="8">
        <f>1*0</f>
        <v>0</v>
      </c>
      <c r="F344" s="8">
        <f>1*12000</f>
        <v>12000</v>
      </c>
      <c r="G344" s="12">
        <f>E344-F344</f>
        <v>-12000</v>
      </c>
      <c r="H344" s="13">
        <f>IF(F344&lt;&gt;0,G344/F344*100,0)</f>
        <v>-100</v>
      </c>
      <c r="J344">
        <v>6</v>
      </c>
      <c r="K344" t="s">
        <v>117</v>
      </c>
    </row>
    <row r="345" spans="3:11" ht="12.75">
      <c r="C345" t="s">
        <v>119</v>
      </c>
      <c r="D345" t="s">
        <v>120</v>
      </c>
      <c r="E345" s="8">
        <f>1*678.4</f>
        <v>678.4</v>
      </c>
      <c r="F345" s="8">
        <f>1*18000</f>
        <v>18000</v>
      </c>
      <c r="G345" s="12">
        <f>E345-F345</f>
        <v>-17321.6</v>
      </c>
      <c r="H345" s="13">
        <f>IF(F345&lt;&gt;0,G345/F345*100,0)</f>
        <v>-96.2311111111111</v>
      </c>
      <c r="J345">
        <v>6</v>
      </c>
      <c r="K345" t="s">
        <v>119</v>
      </c>
    </row>
    <row r="346" spans="3:11" ht="12.75">
      <c r="C346" t="s">
        <v>121</v>
      </c>
      <c r="D346" t="s">
        <v>122</v>
      </c>
      <c r="E346" s="8">
        <f>1*0</f>
        <v>0</v>
      </c>
      <c r="F346" s="8">
        <f>1*15000</f>
        <v>15000</v>
      </c>
      <c r="G346" s="12">
        <f>E346-F346</f>
        <v>-15000</v>
      </c>
      <c r="H346" s="13">
        <f>IF(F346&lt;&gt;0,G346/F346*100,0)</f>
        <v>-100</v>
      </c>
      <c r="J346">
        <v>6</v>
      </c>
      <c r="K346" t="s">
        <v>121</v>
      </c>
    </row>
    <row r="347" spans="3:11" ht="12.75">
      <c r="C347" t="s">
        <v>123</v>
      </c>
      <c r="D347" t="s">
        <v>122</v>
      </c>
      <c r="E347" s="8">
        <f>1*0</f>
        <v>0</v>
      </c>
      <c r="F347" s="8">
        <f>1*37000</f>
        <v>37000</v>
      </c>
      <c r="G347" s="12">
        <f>E347-F347</f>
        <v>-37000</v>
      </c>
      <c r="H347" s="13">
        <f>IF(F347&lt;&gt;0,G347/F347*100,0)</f>
        <v>-100</v>
      </c>
      <c r="J347">
        <v>6</v>
      </c>
      <c r="K347" t="s">
        <v>124</v>
      </c>
    </row>
    <row r="348" spans="3:11" ht="12.75">
      <c r="C348" t="s">
        <v>125</v>
      </c>
      <c r="D348" t="s">
        <v>122</v>
      </c>
      <c r="E348" s="8">
        <f>1*0</f>
        <v>0</v>
      </c>
      <c r="F348" s="8">
        <f>1*15000</f>
        <v>15000</v>
      </c>
      <c r="G348" s="12">
        <f>E348-F348</f>
        <v>-15000</v>
      </c>
      <c r="H348" s="13">
        <f>IF(F348&lt;&gt;0,G348/F348*100,0)</f>
        <v>-100</v>
      </c>
      <c r="J348">
        <v>6</v>
      </c>
      <c r="K348" t="s">
        <v>126</v>
      </c>
    </row>
    <row r="349" spans="3:11" ht="12.75">
      <c r="C349" t="s">
        <v>127</v>
      </c>
      <c r="D349" t="s">
        <v>128</v>
      </c>
      <c r="E349" s="8">
        <f>1*0</f>
        <v>0</v>
      </c>
      <c r="F349" s="8">
        <f>1*5000</f>
        <v>5000</v>
      </c>
      <c r="G349" s="12">
        <f>E349-F349</f>
        <v>-5000</v>
      </c>
      <c r="H349" s="13">
        <f>IF(F349&lt;&gt;0,G349/F349*100,0)</f>
        <v>-100</v>
      </c>
      <c r="J349">
        <v>6</v>
      </c>
      <c r="K349" t="s">
        <v>127</v>
      </c>
    </row>
    <row r="350" spans="3:11" ht="12.75">
      <c r="C350" t="s">
        <v>129</v>
      </c>
      <c r="D350" t="s">
        <v>128</v>
      </c>
      <c r="E350" s="8">
        <f>1*0</f>
        <v>0</v>
      </c>
      <c r="F350" s="8">
        <f>1*12000</f>
        <v>12000</v>
      </c>
      <c r="G350" s="12">
        <f>E350-F350</f>
        <v>-12000</v>
      </c>
      <c r="H350" s="13">
        <f>IF(F350&lt;&gt;0,G350/F350*100,0)</f>
        <v>-100</v>
      </c>
      <c r="J350">
        <v>6</v>
      </c>
      <c r="K350" t="s">
        <v>130</v>
      </c>
    </row>
    <row r="351" spans="3:11" ht="12.75">
      <c r="C351" t="s">
        <v>131</v>
      </c>
      <c r="D351" t="s">
        <v>128</v>
      </c>
      <c r="E351" s="8">
        <f>1*0</f>
        <v>0</v>
      </c>
      <c r="F351" s="8">
        <f>1*12000</f>
        <v>12000</v>
      </c>
      <c r="G351" s="12">
        <f>E351-F351</f>
        <v>-12000</v>
      </c>
      <c r="H351" s="13">
        <f>IF(F351&lt;&gt;0,G351/F351*100,0)</f>
        <v>-100</v>
      </c>
      <c r="J351">
        <v>6</v>
      </c>
      <c r="K351" t="s">
        <v>132</v>
      </c>
    </row>
    <row r="352" spans="3:11" ht="12.75">
      <c r="C352" t="s">
        <v>133</v>
      </c>
      <c r="D352" t="s">
        <v>135</v>
      </c>
      <c r="E352" s="8">
        <f>1*0</f>
        <v>0</v>
      </c>
      <c r="F352" s="8">
        <f>1*54000</f>
        <v>54000</v>
      </c>
      <c r="G352" s="12">
        <f>E352-F352</f>
        <v>-54000</v>
      </c>
      <c r="H352" s="13">
        <f>IF(F352&lt;&gt;0,G352/F352*100,0)</f>
        <v>-100</v>
      </c>
      <c r="J352">
        <v>6</v>
      </c>
      <c r="K352" t="s">
        <v>134</v>
      </c>
    </row>
    <row r="353" spans="3:11" ht="12.75">
      <c r="C353" t="s">
        <v>136</v>
      </c>
      <c r="D353" t="s">
        <v>135</v>
      </c>
      <c r="E353" s="8">
        <f>1*0</f>
        <v>0</v>
      </c>
      <c r="F353" s="8">
        <f>1*125000</f>
        <v>125000</v>
      </c>
      <c r="G353" s="12">
        <f>E353-F353</f>
        <v>-125000</v>
      </c>
      <c r="H353" s="13">
        <f>IF(F353&lt;&gt;0,G353/F353*100,0)</f>
        <v>-100</v>
      </c>
      <c r="J353">
        <v>6</v>
      </c>
      <c r="K353" t="s">
        <v>137</v>
      </c>
    </row>
    <row r="354" spans="3:11" ht="12.75">
      <c r="C354" t="s">
        <v>138</v>
      </c>
      <c r="D354" t="s">
        <v>140</v>
      </c>
      <c r="E354" s="8">
        <f>1*0</f>
        <v>0</v>
      </c>
      <c r="F354" s="8">
        <f>1*14000</f>
        <v>14000</v>
      </c>
      <c r="G354" s="12">
        <f>E354-F354</f>
        <v>-14000</v>
      </c>
      <c r="H354" s="13">
        <f>IF(F354&lt;&gt;0,G354/F354*100,0)</f>
        <v>-100</v>
      </c>
      <c r="J354">
        <v>6</v>
      </c>
      <c r="K354" t="s">
        <v>139</v>
      </c>
    </row>
    <row r="355" spans="3:11" ht="12.75">
      <c r="C355" t="s">
        <v>141</v>
      </c>
      <c r="D355" t="s">
        <v>140</v>
      </c>
      <c r="E355" s="8">
        <f>1*0</f>
        <v>0</v>
      </c>
      <c r="F355" s="8">
        <f>1*16000</f>
        <v>16000</v>
      </c>
      <c r="G355" s="12">
        <f>E355-F355</f>
        <v>-16000</v>
      </c>
      <c r="H355" s="13">
        <f>IF(F355&lt;&gt;0,G355/F355*100,0)</f>
        <v>-100</v>
      </c>
      <c r="J355">
        <v>6</v>
      </c>
      <c r="K355" t="s">
        <v>142</v>
      </c>
    </row>
    <row r="356" spans="3:11" ht="12.75">
      <c r="C356" t="s">
        <v>143</v>
      </c>
      <c r="D356" t="s">
        <v>144</v>
      </c>
      <c r="E356" s="8">
        <f>1*-150</f>
        <v>-150</v>
      </c>
      <c r="F356" s="8">
        <f>1*16000</f>
        <v>16000</v>
      </c>
      <c r="G356" s="12">
        <f>E356-F356</f>
        <v>-16150</v>
      </c>
      <c r="H356" s="13">
        <f>IF(F356&lt;&gt;0,G356/F356*100,0)</f>
        <v>-100.93749999999999</v>
      </c>
      <c r="J356">
        <v>6</v>
      </c>
      <c r="K356" t="s">
        <v>143</v>
      </c>
    </row>
    <row r="357" ht="12.75">
      <c r="J357">
        <v>6.1</v>
      </c>
    </row>
    <row r="358" spans="1:11" ht="12.75">
      <c r="A358" t="s">
        <v>18</v>
      </c>
      <c r="B358" s="10">
        <v>44043</v>
      </c>
      <c r="C358" t="s">
        <v>11</v>
      </c>
      <c r="D358" t="s">
        <v>12</v>
      </c>
      <c r="E358" s="8">
        <f>-1*-661.81</f>
        <v>661.81</v>
      </c>
      <c r="F358" s="8">
        <f>-1*-400000</f>
        <v>400000</v>
      </c>
      <c r="G358" s="12">
        <f>E358-F358</f>
        <v>-399338.19</v>
      </c>
      <c r="H358" s="13">
        <f>IF(F358&lt;&gt;0,G358/F358*100,0)</f>
        <v>-99.8345475</v>
      </c>
      <c r="J358">
        <v>7</v>
      </c>
      <c r="K358" t="s">
        <v>11</v>
      </c>
    </row>
    <row r="359" spans="3:11" ht="12.75">
      <c r="C359" t="s">
        <v>24</v>
      </c>
      <c r="D359" t="s">
        <v>12</v>
      </c>
      <c r="E359" s="8">
        <f>-1*-753.25</f>
        <v>753.25</v>
      </c>
      <c r="F359" s="8">
        <f>-1*-82000</f>
        <v>82000</v>
      </c>
      <c r="G359" s="12">
        <f>E359-F359</f>
        <v>-81246.75</v>
      </c>
      <c r="H359" s="13">
        <f>IF(F359&lt;&gt;0,G359/F359*100,0)</f>
        <v>-99.08140243902439</v>
      </c>
      <c r="J359">
        <v>7</v>
      </c>
      <c r="K359" t="s">
        <v>25</v>
      </c>
    </row>
    <row r="360" spans="3:11" ht="12.75">
      <c r="C360" t="s">
        <v>26</v>
      </c>
      <c r="D360" t="s">
        <v>12</v>
      </c>
      <c r="E360" s="8">
        <f>-1*0</f>
        <v>0</v>
      </c>
      <c r="F360" s="8">
        <f>-1*-186000</f>
        <v>186000</v>
      </c>
      <c r="G360" s="12">
        <f>E360-F360</f>
        <v>-186000</v>
      </c>
      <c r="H360" s="13">
        <f>IF(F360&lt;&gt;0,G360/F360*100,0)</f>
        <v>-100</v>
      </c>
      <c r="J360">
        <v>7</v>
      </c>
      <c r="K360" t="s">
        <v>27</v>
      </c>
    </row>
    <row r="361" spans="3:11" ht="12.75">
      <c r="C361" t="s">
        <v>28</v>
      </c>
      <c r="D361" t="s">
        <v>30</v>
      </c>
      <c r="E361" s="8">
        <f>-1*-3165.26</f>
        <v>3165.26</v>
      </c>
      <c r="F361" s="8">
        <f>-1*-5000</f>
        <v>5000</v>
      </c>
      <c r="G361" s="12">
        <f>E361-F361</f>
        <v>-1834.7399999999998</v>
      </c>
      <c r="H361" s="13">
        <f>IF(F361&lt;&gt;0,G361/F361*100,0)</f>
        <v>-36.694799999999994</v>
      </c>
      <c r="J361">
        <v>7</v>
      </c>
      <c r="K361" t="s">
        <v>29</v>
      </c>
    </row>
    <row r="362" spans="3:11" ht="12.75">
      <c r="C362" t="s">
        <v>31</v>
      </c>
      <c r="D362" t="s">
        <v>30</v>
      </c>
      <c r="E362" s="8">
        <f>-1*0</f>
        <v>0</v>
      </c>
      <c r="F362" s="8">
        <f>-1*-7000</f>
        <v>7000</v>
      </c>
      <c r="G362" s="12">
        <f>E362-F362</f>
        <v>-7000</v>
      </c>
      <c r="H362" s="13">
        <f>IF(F362&lt;&gt;0,G362/F362*100,0)</f>
        <v>-100</v>
      </c>
      <c r="J362">
        <v>7</v>
      </c>
      <c r="K362" t="s">
        <v>32</v>
      </c>
    </row>
    <row r="363" spans="3:11" ht="12.75">
      <c r="C363" t="s">
        <v>33</v>
      </c>
      <c r="D363" t="s">
        <v>30</v>
      </c>
      <c r="E363" s="8">
        <f>-1*0</f>
        <v>0</v>
      </c>
      <c r="F363" s="8">
        <f>-1*-2000</f>
        <v>2000</v>
      </c>
      <c r="G363" s="12">
        <f>E363-F363</f>
        <v>-2000</v>
      </c>
      <c r="H363" s="13">
        <f>IF(F363&lt;&gt;0,G363/F363*100,0)</f>
        <v>-100</v>
      </c>
      <c r="J363">
        <v>7</v>
      </c>
      <c r="K363" t="s">
        <v>34</v>
      </c>
    </row>
    <row r="364" spans="3:11" ht="12.75">
      <c r="C364" t="s">
        <v>35</v>
      </c>
      <c r="D364" t="s">
        <v>30</v>
      </c>
      <c r="E364" s="8">
        <f>-1*0</f>
        <v>0</v>
      </c>
      <c r="F364" s="8">
        <f>-1*-2000</f>
        <v>2000</v>
      </c>
      <c r="G364" s="12">
        <f>E364-F364</f>
        <v>-2000</v>
      </c>
      <c r="H364" s="13">
        <f>IF(F364&lt;&gt;0,G364/F364*100,0)</f>
        <v>-100</v>
      </c>
      <c r="J364">
        <v>7</v>
      </c>
      <c r="K364" t="s">
        <v>36</v>
      </c>
    </row>
    <row r="365" spans="3:11" ht="12.75">
      <c r="C365" t="s">
        <v>37</v>
      </c>
      <c r="D365" t="s">
        <v>30</v>
      </c>
      <c r="E365" s="8">
        <f>-1*0</f>
        <v>0</v>
      </c>
      <c r="F365" s="8">
        <f>-1*-6000</f>
        <v>6000</v>
      </c>
      <c r="G365" s="12">
        <f>E365-F365</f>
        <v>-6000</v>
      </c>
      <c r="H365" s="13">
        <f>IF(F365&lt;&gt;0,G365/F365*100,0)</f>
        <v>-100</v>
      </c>
      <c r="J365">
        <v>7</v>
      </c>
      <c r="K365" t="s">
        <v>38</v>
      </c>
    </row>
    <row r="366" spans="3:11" ht="12.75">
      <c r="C366" t="s">
        <v>39</v>
      </c>
      <c r="D366" t="s">
        <v>30</v>
      </c>
      <c r="E366" s="8">
        <f>-1*0</f>
        <v>0</v>
      </c>
      <c r="F366" s="8">
        <f>-1*-6000</f>
        <v>6000</v>
      </c>
      <c r="G366" s="12">
        <f>E366-F366</f>
        <v>-6000</v>
      </c>
      <c r="H366" s="13">
        <f>IF(F366&lt;&gt;0,G366/F366*100,0)</f>
        <v>-100</v>
      </c>
      <c r="J366">
        <v>7</v>
      </c>
      <c r="K366" t="s">
        <v>40</v>
      </c>
    </row>
    <row r="367" spans="3:11" ht="12.75">
      <c r="C367" t="s">
        <v>41</v>
      </c>
      <c r="D367" t="s">
        <v>30</v>
      </c>
      <c r="E367" s="8">
        <f>-1*0</f>
        <v>0</v>
      </c>
      <c r="F367" s="8">
        <f>-1*-3000</f>
        <v>3000</v>
      </c>
      <c r="G367" s="12">
        <f>E367-F367</f>
        <v>-3000</v>
      </c>
      <c r="H367" s="13">
        <f>IF(F367&lt;&gt;0,G367/F367*100,0)</f>
        <v>-100</v>
      </c>
      <c r="J367">
        <v>7</v>
      </c>
      <c r="K367" t="s">
        <v>42</v>
      </c>
    </row>
    <row r="368" spans="3:11" ht="12.75">
      <c r="C368" t="s">
        <v>43</v>
      </c>
      <c r="D368" t="s">
        <v>30</v>
      </c>
      <c r="E368" s="8">
        <f>-1*0</f>
        <v>0</v>
      </c>
      <c r="F368" s="8">
        <f>-1*-3000</f>
        <v>3000</v>
      </c>
      <c r="G368" s="12">
        <f>E368-F368</f>
        <v>-3000</v>
      </c>
      <c r="H368" s="13">
        <f>IF(F368&lt;&gt;0,G368/F368*100,0)</f>
        <v>-100</v>
      </c>
      <c r="J368">
        <v>7</v>
      </c>
      <c r="K368" t="s">
        <v>44</v>
      </c>
    </row>
    <row r="369" spans="3:11" ht="12.75">
      <c r="C369" t="s">
        <v>45</v>
      </c>
      <c r="D369" t="s">
        <v>46</v>
      </c>
      <c r="E369" s="8">
        <f>-1*0</f>
        <v>0</v>
      </c>
      <c r="F369" s="8">
        <f>-1*-16000</f>
        <v>16000</v>
      </c>
      <c r="G369" s="12">
        <f>E369-F369</f>
        <v>-16000</v>
      </c>
      <c r="H369" s="13">
        <f>IF(F369&lt;&gt;0,G369/F369*100,0)</f>
        <v>-100</v>
      </c>
      <c r="J369">
        <v>7</v>
      </c>
      <c r="K369" t="s">
        <v>45</v>
      </c>
    </row>
    <row r="370" spans="3:11" ht="12.75">
      <c r="C370" t="s">
        <v>47</v>
      </c>
      <c r="D370" t="s">
        <v>48</v>
      </c>
      <c r="E370" s="8">
        <f>-1*0</f>
        <v>0</v>
      </c>
      <c r="F370" s="8">
        <f>-1*-47000</f>
        <v>47000</v>
      </c>
      <c r="G370" s="12">
        <f>E370-F370</f>
        <v>-47000</v>
      </c>
      <c r="H370" s="13">
        <f>IF(F370&lt;&gt;0,G370/F370*100,0)</f>
        <v>-100</v>
      </c>
      <c r="J370">
        <v>7</v>
      </c>
      <c r="K370" t="s">
        <v>47</v>
      </c>
    </row>
    <row r="371" spans="3:11" ht="12.75">
      <c r="C371" t="s">
        <v>49</v>
      </c>
      <c r="D371" t="s">
        <v>50</v>
      </c>
      <c r="E371" s="8">
        <f>-1*0</f>
        <v>0</v>
      </c>
      <c r="F371" s="8">
        <f>-1*-28000</f>
        <v>28000</v>
      </c>
      <c r="G371" s="12">
        <f>E371-F371</f>
        <v>-28000</v>
      </c>
      <c r="H371" s="13">
        <f>IF(F371&lt;&gt;0,G371/F371*100,0)</f>
        <v>-100</v>
      </c>
      <c r="J371">
        <v>7</v>
      </c>
      <c r="K371" t="s">
        <v>49</v>
      </c>
    </row>
    <row r="372" spans="3:11" ht="12.75">
      <c r="C372" t="s">
        <v>51</v>
      </c>
      <c r="D372" t="s">
        <v>52</v>
      </c>
      <c r="E372" s="8">
        <f>-1*0</f>
        <v>0</v>
      </c>
      <c r="F372" s="8">
        <f>-1*-60000</f>
        <v>60000</v>
      </c>
      <c r="G372" s="12">
        <f>E372-F372</f>
        <v>-60000</v>
      </c>
      <c r="H372" s="13">
        <f>IF(F372&lt;&gt;0,G372/F372*100,0)</f>
        <v>-100</v>
      </c>
      <c r="J372">
        <v>7</v>
      </c>
      <c r="K372" t="s">
        <v>51</v>
      </c>
    </row>
    <row r="373" spans="3:11" ht="12.75">
      <c r="C373" t="s">
        <v>53</v>
      </c>
      <c r="D373" t="s">
        <v>54</v>
      </c>
      <c r="E373" s="8">
        <f>-1*0</f>
        <v>0</v>
      </c>
      <c r="F373" s="8">
        <f>-1*-16000</f>
        <v>16000</v>
      </c>
      <c r="G373" s="12">
        <f>E373-F373</f>
        <v>-16000</v>
      </c>
      <c r="H373" s="13">
        <f>IF(F373&lt;&gt;0,G373/F373*100,0)</f>
        <v>-100</v>
      </c>
      <c r="J373">
        <v>7</v>
      </c>
      <c r="K373" t="s">
        <v>53</v>
      </c>
    </row>
    <row r="374" spans="3:11" ht="12.75">
      <c r="C374" t="s">
        <v>55</v>
      </c>
      <c r="D374" t="s">
        <v>56</v>
      </c>
      <c r="E374" s="8">
        <f>1*0</f>
        <v>0</v>
      </c>
      <c r="F374" s="8">
        <f>1*10000</f>
        <v>10000</v>
      </c>
      <c r="G374" s="12">
        <f>E374-F374</f>
        <v>-10000</v>
      </c>
      <c r="H374" s="13">
        <f>IF(F374&lt;&gt;0,G374/F374*100,0)</f>
        <v>-100</v>
      </c>
      <c r="J374">
        <v>7</v>
      </c>
      <c r="K374" t="s">
        <v>55</v>
      </c>
    </row>
    <row r="375" spans="3:11" ht="12.75">
      <c r="C375" t="s">
        <v>57</v>
      </c>
      <c r="D375" t="s">
        <v>58</v>
      </c>
      <c r="E375" s="8">
        <f>1*893.98</f>
        <v>893.98</v>
      </c>
      <c r="F375" s="8">
        <f>1*67000</f>
        <v>67000</v>
      </c>
      <c r="G375" s="12">
        <f>E375-F375</f>
        <v>-66106.02</v>
      </c>
      <c r="H375" s="13">
        <f>IF(F375&lt;&gt;0,G375/F375*100,0)</f>
        <v>-98.66570149253732</v>
      </c>
      <c r="J375">
        <v>7</v>
      </c>
      <c r="K375" t="s">
        <v>57</v>
      </c>
    </row>
    <row r="376" spans="3:11" ht="12.75">
      <c r="C376" t="s">
        <v>59</v>
      </c>
      <c r="D376" t="s">
        <v>60</v>
      </c>
      <c r="E376" s="8">
        <f>1*0</f>
        <v>0</v>
      </c>
      <c r="F376" s="8">
        <f>1*15000</f>
        <v>15000</v>
      </c>
      <c r="G376" s="12">
        <f>E376-F376</f>
        <v>-15000</v>
      </c>
      <c r="H376" s="13">
        <f>IF(F376&lt;&gt;0,G376/F376*100,0)</f>
        <v>-100</v>
      </c>
      <c r="J376">
        <v>7</v>
      </c>
      <c r="K376" t="s">
        <v>59</v>
      </c>
    </row>
    <row r="377" spans="3:11" ht="12.75">
      <c r="C377" t="s">
        <v>61</v>
      </c>
      <c r="D377" t="s">
        <v>60</v>
      </c>
      <c r="E377" s="8">
        <f>1*0</f>
        <v>0</v>
      </c>
      <c r="F377" s="8">
        <f>1*8000</f>
        <v>8000</v>
      </c>
      <c r="G377" s="12">
        <f>E377-F377</f>
        <v>-8000</v>
      </c>
      <c r="H377" s="13">
        <f>IF(F377&lt;&gt;0,G377/F377*100,0)</f>
        <v>-100</v>
      </c>
      <c r="J377">
        <v>7</v>
      </c>
      <c r="K377" t="s">
        <v>62</v>
      </c>
    </row>
    <row r="378" spans="3:11" ht="12.75">
      <c r="C378" t="s">
        <v>63</v>
      </c>
      <c r="D378" t="s">
        <v>60</v>
      </c>
      <c r="E378" s="8">
        <f>1*0</f>
        <v>0</v>
      </c>
      <c r="F378" s="8">
        <f>1*12000</f>
        <v>12000</v>
      </c>
      <c r="G378" s="12">
        <f>E378-F378</f>
        <v>-12000</v>
      </c>
      <c r="H378" s="13">
        <f>IF(F378&lt;&gt;0,G378/F378*100,0)</f>
        <v>-100</v>
      </c>
      <c r="J378">
        <v>7</v>
      </c>
      <c r="K378" t="s">
        <v>64</v>
      </c>
    </row>
    <row r="379" spans="3:11" ht="12.75">
      <c r="C379" t="s">
        <v>65</v>
      </c>
      <c r="D379" t="s">
        <v>66</v>
      </c>
      <c r="E379" s="8">
        <f>1*0</f>
        <v>0</v>
      </c>
      <c r="F379" s="8">
        <f>1*60000</f>
        <v>60000</v>
      </c>
      <c r="G379" s="12">
        <f>E379-F379</f>
        <v>-60000</v>
      </c>
      <c r="H379" s="13">
        <f>IF(F379&lt;&gt;0,G379/F379*100,0)</f>
        <v>-100</v>
      </c>
      <c r="J379">
        <v>7</v>
      </c>
      <c r="K379" t="s">
        <v>65</v>
      </c>
    </row>
    <row r="380" spans="3:11" ht="12.75">
      <c r="C380" t="s">
        <v>67</v>
      </c>
      <c r="D380" t="s">
        <v>66</v>
      </c>
      <c r="E380" s="8">
        <f>1*0</f>
        <v>0</v>
      </c>
      <c r="F380" s="8">
        <f>1*26000</f>
        <v>26000</v>
      </c>
      <c r="G380" s="12">
        <f>E380-F380</f>
        <v>-26000</v>
      </c>
      <c r="H380" s="13">
        <f>IF(F380&lt;&gt;0,G380/F380*100,0)</f>
        <v>-100</v>
      </c>
      <c r="J380">
        <v>7</v>
      </c>
      <c r="K380" t="s">
        <v>68</v>
      </c>
    </row>
    <row r="381" spans="3:11" ht="12.75">
      <c r="C381" t="s">
        <v>69</v>
      </c>
      <c r="D381" t="s">
        <v>66</v>
      </c>
      <c r="E381" s="8">
        <f>1*0</f>
        <v>0</v>
      </c>
      <c r="F381" s="8">
        <f>1*14000</f>
        <v>14000</v>
      </c>
      <c r="G381" s="12">
        <f>E381-F381</f>
        <v>-14000</v>
      </c>
      <c r="H381" s="13">
        <f>IF(F381&lt;&gt;0,G381/F381*100,0)</f>
        <v>-100</v>
      </c>
      <c r="J381">
        <v>7</v>
      </c>
      <c r="K381" t="s">
        <v>70</v>
      </c>
    </row>
    <row r="382" spans="3:11" ht="12.75">
      <c r="C382" t="s">
        <v>71</v>
      </c>
      <c r="D382" t="s">
        <v>72</v>
      </c>
      <c r="E382" s="8">
        <f>1*91.58</f>
        <v>91.58</v>
      </c>
      <c r="F382" s="8">
        <f>1*13000</f>
        <v>13000</v>
      </c>
      <c r="G382" s="12">
        <f>E382-F382</f>
        <v>-12908.42</v>
      </c>
      <c r="H382" s="13">
        <f>IF(F382&lt;&gt;0,G382/F382*100,0)</f>
        <v>-99.29553846153846</v>
      </c>
      <c r="J382">
        <v>7</v>
      </c>
      <c r="K382" t="s">
        <v>71</v>
      </c>
    </row>
    <row r="383" spans="3:11" ht="12.75">
      <c r="C383" t="s">
        <v>73</v>
      </c>
      <c r="D383" t="s">
        <v>74</v>
      </c>
      <c r="E383" s="8">
        <f>1*0</f>
        <v>0</v>
      </c>
      <c r="F383" s="8">
        <f>1*3000</f>
        <v>3000</v>
      </c>
      <c r="G383" s="12">
        <f>E383-F383</f>
        <v>-3000</v>
      </c>
      <c r="H383" s="13">
        <f>IF(F383&lt;&gt;0,G383/F383*100,0)</f>
        <v>-100</v>
      </c>
      <c r="J383">
        <v>7</v>
      </c>
      <c r="K383" t="s">
        <v>73</v>
      </c>
    </row>
    <row r="384" spans="3:11" ht="12.75">
      <c r="C384" t="s">
        <v>75</v>
      </c>
      <c r="D384" t="s">
        <v>77</v>
      </c>
      <c r="E384" s="8">
        <f>1*0</f>
        <v>0</v>
      </c>
      <c r="F384" s="8">
        <f>1*12000</f>
        <v>12000</v>
      </c>
      <c r="G384" s="12">
        <f>E384-F384</f>
        <v>-12000</v>
      </c>
      <c r="H384" s="13">
        <f>IF(F384&lt;&gt;0,G384/F384*100,0)</f>
        <v>-100</v>
      </c>
      <c r="J384">
        <v>7</v>
      </c>
      <c r="K384" t="s">
        <v>76</v>
      </c>
    </row>
    <row r="385" spans="3:11" ht="12.75">
      <c r="C385" t="s">
        <v>78</v>
      </c>
      <c r="D385" t="s">
        <v>77</v>
      </c>
      <c r="E385" s="8">
        <f>1*0</f>
        <v>0</v>
      </c>
      <c r="F385" s="8">
        <f>1*10000</f>
        <v>10000</v>
      </c>
      <c r="G385" s="12">
        <f>E385-F385</f>
        <v>-10000</v>
      </c>
      <c r="H385" s="13">
        <f>IF(F385&lt;&gt;0,G385/F385*100,0)</f>
        <v>-100</v>
      </c>
      <c r="J385">
        <v>7</v>
      </c>
      <c r="K385" t="s">
        <v>79</v>
      </c>
    </row>
    <row r="386" spans="3:11" ht="12.75">
      <c r="C386" t="s">
        <v>80</v>
      </c>
      <c r="D386" t="s">
        <v>81</v>
      </c>
      <c r="E386" s="8">
        <f>1*0</f>
        <v>0</v>
      </c>
      <c r="F386" s="8">
        <f>1*16000</f>
        <v>16000</v>
      </c>
      <c r="G386" s="12">
        <f>E386-F386</f>
        <v>-16000</v>
      </c>
      <c r="H386" s="13">
        <f>IF(F386&lt;&gt;0,G386/F386*100,0)</f>
        <v>-100</v>
      </c>
      <c r="J386">
        <v>7</v>
      </c>
      <c r="K386" t="s">
        <v>80</v>
      </c>
    </row>
    <row r="387" spans="3:11" ht="12.75">
      <c r="C387" t="s">
        <v>82</v>
      </c>
      <c r="D387" t="s">
        <v>84</v>
      </c>
      <c r="E387" s="8">
        <f>1*0</f>
        <v>0</v>
      </c>
      <c r="F387" s="8">
        <f>1*13000</f>
        <v>13000</v>
      </c>
      <c r="G387" s="12">
        <f>E387-F387</f>
        <v>-13000</v>
      </c>
      <c r="H387" s="13">
        <f>IF(F387&lt;&gt;0,G387/F387*100,0)</f>
        <v>-100</v>
      </c>
      <c r="J387">
        <v>7</v>
      </c>
      <c r="K387" t="s">
        <v>83</v>
      </c>
    </row>
    <row r="388" spans="3:11" ht="12.75">
      <c r="C388" t="s">
        <v>85</v>
      </c>
      <c r="D388" t="s">
        <v>84</v>
      </c>
      <c r="E388" s="8">
        <f>1*0</f>
        <v>0</v>
      </c>
      <c r="F388" s="8">
        <f>1*13000</f>
        <v>13000</v>
      </c>
      <c r="G388" s="12">
        <f>E388-F388</f>
        <v>-13000</v>
      </c>
      <c r="H388" s="13">
        <f>IF(F388&lt;&gt;0,G388/F388*100,0)</f>
        <v>-100</v>
      </c>
      <c r="J388">
        <v>7</v>
      </c>
      <c r="K388" t="s">
        <v>86</v>
      </c>
    </row>
    <row r="389" spans="3:11" ht="12.75">
      <c r="C389" t="s">
        <v>87</v>
      </c>
      <c r="D389" t="s">
        <v>88</v>
      </c>
      <c r="E389" s="8">
        <f>1*0</f>
        <v>0</v>
      </c>
      <c r="F389" s="8">
        <f>1*10000</f>
        <v>10000</v>
      </c>
      <c r="G389" s="12">
        <f>E389-F389</f>
        <v>-10000</v>
      </c>
      <c r="H389" s="13">
        <f>IF(F389&lt;&gt;0,G389/F389*100,0)</f>
        <v>-100</v>
      </c>
      <c r="J389">
        <v>7</v>
      </c>
      <c r="K389" t="s">
        <v>87</v>
      </c>
    </row>
    <row r="390" spans="3:11" ht="12.75">
      <c r="C390" t="s">
        <v>89</v>
      </c>
      <c r="D390" t="s">
        <v>90</v>
      </c>
      <c r="E390" s="8">
        <f>1*0</f>
        <v>0</v>
      </c>
      <c r="F390" s="8">
        <f>1*29000</f>
        <v>29000</v>
      </c>
      <c r="G390" s="12">
        <f>E390-F390</f>
        <v>-29000</v>
      </c>
      <c r="H390" s="13">
        <f>IF(F390&lt;&gt;0,G390/F390*100,0)</f>
        <v>-100</v>
      </c>
      <c r="J390">
        <v>7</v>
      </c>
      <c r="K390" t="s">
        <v>89</v>
      </c>
    </row>
    <row r="391" spans="3:11" ht="12.75">
      <c r="C391" t="s">
        <v>91</v>
      </c>
      <c r="D391" t="s">
        <v>92</v>
      </c>
      <c r="E391" s="8">
        <f>1*0</f>
        <v>0</v>
      </c>
      <c r="F391" s="8">
        <f>1*3000</f>
        <v>3000</v>
      </c>
      <c r="G391" s="12">
        <f>E391-F391</f>
        <v>-3000</v>
      </c>
      <c r="H391" s="13">
        <f>IF(F391&lt;&gt;0,G391/F391*100,0)</f>
        <v>-100</v>
      </c>
      <c r="J391">
        <v>7</v>
      </c>
      <c r="K391" t="s">
        <v>91</v>
      </c>
    </row>
    <row r="392" spans="3:11" ht="12.75">
      <c r="C392" t="s">
        <v>93</v>
      </c>
      <c r="D392" t="s">
        <v>95</v>
      </c>
      <c r="E392" s="8">
        <f>1*0</f>
        <v>0</v>
      </c>
      <c r="F392" s="8">
        <f>1*12000</f>
        <v>12000</v>
      </c>
      <c r="G392" s="12">
        <f>E392-F392</f>
        <v>-12000</v>
      </c>
      <c r="H392" s="13">
        <f>IF(F392&lt;&gt;0,G392/F392*100,0)</f>
        <v>-100</v>
      </c>
      <c r="J392">
        <v>7</v>
      </c>
      <c r="K392" t="s">
        <v>94</v>
      </c>
    </row>
    <row r="393" spans="3:11" ht="12.75">
      <c r="C393" t="s">
        <v>96</v>
      </c>
      <c r="D393" t="s">
        <v>95</v>
      </c>
      <c r="E393" s="8">
        <f>1*0</f>
        <v>0</v>
      </c>
      <c r="F393" s="8">
        <f>1*17000</f>
        <v>17000</v>
      </c>
      <c r="G393" s="12">
        <f>E393-F393</f>
        <v>-17000</v>
      </c>
      <c r="H393" s="13">
        <f>IF(F393&lt;&gt;0,G393/F393*100,0)</f>
        <v>-100</v>
      </c>
      <c r="J393">
        <v>7</v>
      </c>
      <c r="K393" t="s">
        <v>97</v>
      </c>
    </row>
    <row r="394" spans="3:11" ht="12.75">
      <c r="C394" t="s">
        <v>98</v>
      </c>
      <c r="D394" t="s">
        <v>99</v>
      </c>
      <c r="E394" s="8">
        <f>1*0</f>
        <v>0</v>
      </c>
      <c r="F394" s="8">
        <f>1*7000</f>
        <v>7000</v>
      </c>
      <c r="G394" s="12">
        <f>E394-F394</f>
        <v>-7000</v>
      </c>
      <c r="H394" s="13">
        <f>IF(F394&lt;&gt;0,G394/F394*100,0)</f>
        <v>-100</v>
      </c>
      <c r="J394">
        <v>7</v>
      </c>
      <c r="K394" t="s">
        <v>98</v>
      </c>
    </row>
    <row r="395" spans="3:11" ht="12.75">
      <c r="C395" t="s">
        <v>100</v>
      </c>
      <c r="D395" t="s">
        <v>102</v>
      </c>
      <c r="E395" s="8">
        <f>1*0</f>
        <v>0</v>
      </c>
      <c r="F395" s="8">
        <f>1*18000</f>
        <v>18000</v>
      </c>
      <c r="G395" s="12">
        <f>E395-F395</f>
        <v>-18000</v>
      </c>
      <c r="H395" s="13">
        <f>IF(F395&lt;&gt;0,G395/F395*100,0)</f>
        <v>-100</v>
      </c>
      <c r="J395">
        <v>7</v>
      </c>
      <c r="K395" t="s">
        <v>101</v>
      </c>
    </row>
    <row r="396" spans="3:11" ht="12.75">
      <c r="C396" t="s">
        <v>103</v>
      </c>
      <c r="D396" t="s">
        <v>102</v>
      </c>
      <c r="E396" s="8">
        <f>1*0</f>
        <v>0</v>
      </c>
      <c r="F396" s="8">
        <f>1*17000</f>
        <v>17000</v>
      </c>
      <c r="G396" s="12">
        <f>E396-F396</f>
        <v>-17000</v>
      </c>
      <c r="H396" s="13">
        <f>IF(F396&lt;&gt;0,G396/F396*100,0)</f>
        <v>-100</v>
      </c>
      <c r="J396">
        <v>7</v>
      </c>
      <c r="K396" t="s">
        <v>104</v>
      </c>
    </row>
    <row r="397" spans="3:11" ht="12.75">
      <c r="C397" t="s">
        <v>105</v>
      </c>
      <c r="D397" t="s">
        <v>106</v>
      </c>
      <c r="E397" s="8">
        <f>1*0</f>
        <v>0</v>
      </c>
      <c r="F397" s="8">
        <f>1*8000</f>
        <v>8000</v>
      </c>
      <c r="G397" s="12">
        <f>E397-F397</f>
        <v>-8000</v>
      </c>
      <c r="H397" s="13">
        <f>IF(F397&lt;&gt;0,G397/F397*100,0)</f>
        <v>-100</v>
      </c>
      <c r="J397">
        <v>7</v>
      </c>
      <c r="K397" t="s">
        <v>105</v>
      </c>
    </row>
    <row r="398" spans="3:11" ht="12.75">
      <c r="C398" t="s">
        <v>107</v>
      </c>
      <c r="D398" t="s">
        <v>108</v>
      </c>
      <c r="E398" s="8">
        <f>1*224</f>
        <v>224</v>
      </c>
      <c r="F398" s="8">
        <f>1*33000</f>
        <v>33000</v>
      </c>
      <c r="G398" s="12">
        <f>E398-F398</f>
        <v>-32776</v>
      </c>
      <c r="H398" s="13">
        <f>IF(F398&lt;&gt;0,G398/F398*100,0)</f>
        <v>-99.32121212121213</v>
      </c>
      <c r="J398">
        <v>7</v>
      </c>
      <c r="K398" t="s">
        <v>107</v>
      </c>
    </row>
    <row r="399" spans="3:11" ht="12.75">
      <c r="C399" t="s">
        <v>109</v>
      </c>
      <c r="D399" t="s">
        <v>110</v>
      </c>
      <c r="E399" s="8">
        <f>1*0</f>
        <v>0</v>
      </c>
      <c r="F399" s="8">
        <f>1*44000</f>
        <v>44000</v>
      </c>
      <c r="G399" s="12">
        <f>E399-F399</f>
        <v>-44000</v>
      </c>
      <c r="H399" s="13">
        <f>IF(F399&lt;&gt;0,G399/F399*100,0)</f>
        <v>-100</v>
      </c>
      <c r="J399">
        <v>7</v>
      </c>
      <c r="K399" t="s">
        <v>109</v>
      </c>
    </row>
    <row r="400" spans="3:11" ht="12.75">
      <c r="C400" t="s">
        <v>111</v>
      </c>
      <c r="D400" t="s">
        <v>112</v>
      </c>
      <c r="E400" s="8">
        <f>1*0</f>
        <v>0</v>
      </c>
      <c r="F400" s="8">
        <f>1*10000</f>
        <v>10000</v>
      </c>
      <c r="G400" s="12">
        <f>E400-F400</f>
        <v>-10000</v>
      </c>
      <c r="H400" s="13">
        <f>IF(F400&lt;&gt;0,G400/F400*100,0)</f>
        <v>-100</v>
      </c>
      <c r="J400">
        <v>7</v>
      </c>
      <c r="K400" t="s">
        <v>111</v>
      </c>
    </row>
    <row r="401" spans="3:11" ht="12.75">
      <c r="C401" t="s">
        <v>113</v>
      </c>
      <c r="D401" t="s">
        <v>114</v>
      </c>
      <c r="E401" s="8">
        <f>1*0</f>
        <v>0</v>
      </c>
      <c r="F401" s="8">
        <f>1*38000</f>
        <v>38000</v>
      </c>
      <c r="G401" s="12">
        <f>E401-F401</f>
        <v>-38000</v>
      </c>
      <c r="H401" s="13">
        <f>IF(F401&lt;&gt;0,G401/F401*100,0)</f>
        <v>-100</v>
      </c>
      <c r="J401">
        <v>7</v>
      </c>
      <c r="K401" t="s">
        <v>113</v>
      </c>
    </row>
    <row r="402" spans="3:11" ht="12.75">
      <c r="C402" t="s">
        <v>115</v>
      </c>
      <c r="D402" t="s">
        <v>116</v>
      </c>
      <c r="E402" s="8">
        <f>1*0</f>
        <v>0</v>
      </c>
      <c r="F402" s="8">
        <f>1*25000</f>
        <v>25000</v>
      </c>
      <c r="G402" s="12">
        <f>E402-F402</f>
        <v>-25000</v>
      </c>
      <c r="H402" s="13">
        <f>IF(F402&lt;&gt;0,G402/F402*100,0)</f>
        <v>-100</v>
      </c>
      <c r="J402">
        <v>7</v>
      </c>
      <c r="K402" t="s">
        <v>115</v>
      </c>
    </row>
    <row r="403" spans="3:11" ht="12.75">
      <c r="C403" t="s">
        <v>117</v>
      </c>
      <c r="D403" t="s">
        <v>118</v>
      </c>
      <c r="E403" s="8">
        <f>1*7663.8</f>
        <v>7663.8</v>
      </c>
      <c r="F403" s="8">
        <f>1*12000</f>
        <v>12000</v>
      </c>
      <c r="G403" s="12">
        <f>E403-F403</f>
        <v>-4336.2</v>
      </c>
      <c r="H403" s="13">
        <f>IF(F403&lt;&gt;0,G403/F403*100,0)</f>
        <v>-36.135</v>
      </c>
      <c r="J403">
        <v>7</v>
      </c>
      <c r="K403" t="s">
        <v>117</v>
      </c>
    </row>
    <row r="404" spans="3:11" ht="12.75">
      <c r="C404" t="s">
        <v>119</v>
      </c>
      <c r="D404" t="s">
        <v>120</v>
      </c>
      <c r="E404" s="8">
        <f>1*4375.4</f>
        <v>4375.4</v>
      </c>
      <c r="F404" s="8">
        <f>1*18000</f>
        <v>18000</v>
      </c>
      <c r="G404" s="12">
        <f>E404-F404</f>
        <v>-13624.6</v>
      </c>
      <c r="H404" s="13">
        <f>IF(F404&lt;&gt;0,G404/F404*100,0)</f>
        <v>-75.69222222222223</v>
      </c>
      <c r="J404">
        <v>7</v>
      </c>
      <c r="K404" t="s">
        <v>119</v>
      </c>
    </row>
    <row r="405" spans="3:11" ht="12.75">
      <c r="C405" t="s">
        <v>121</v>
      </c>
      <c r="D405" t="s">
        <v>122</v>
      </c>
      <c r="E405" s="8">
        <f>1*0</f>
        <v>0</v>
      </c>
      <c r="F405" s="8">
        <f>1*15000</f>
        <v>15000</v>
      </c>
      <c r="G405" s="12">
        <f>E405-F405</f>
        <v>-15000</v>
      </c>
      <c r="H405" s="13">
        <f>IF(F405&lt;&gt;0,G405/F405*100,0)</f>
        <v>-100</v>
      </c>
      <c r="J405">
        <v>7</v>
      </c>
      <c r="K405" t="s">
        <v>121</v>
      </c>
    </row>
    <row r="406" spans="3:11" ht="12.75">
      <c r="C406" t="s">
        <v>123</v>
      </c>
      <c r="D406" t="s">
        <v>122</v>
      </c>
      <c r="E406" s="8">
        <f>1*0</f>
        <v>0</v>
      </c>
      <c r="F406" s="8">
        <f>1*37000</f>
        <v>37000</v>
      </c>
      <c r="G406" s="12">
        <f>E406-F406</f>
        <v>-37000</v>
      </c>
      <c r="H406" s="13">
        <f>IF(F406&lt;&gt;0,G406/F406*100,0)</f>
        <v>-100</v>
      </c>
      <c r="J406">
        <v>7</v>
      </c>
      <c r="K406" t="s">
        <v>124</v>
      </c>
    </row>
    <row r="407" spans="3:11" ht="12.75">
      <c r="C407" t="s">
        <v>125</v>
      </c>
      <c r="D407" t="s">
        <v>122</v>
      </c>
      <c r="E407" s="8">
        <f>1*0</f>
        <v>0</v>
      </c>
      <c r="F407" s="8">
        <f>1*15000</f>
        <v>15000</v>
      </c>
      <c r="G407" s="12">
        <f>E407-F407</f>
        <v>-15000</v>
      </c>
      <c r="H407" s="13">
        <f>IF(F407&lt;&gt;0,G407/F407*100,0)</f>
        <v>-100</v>
      </c>
      <c r="J407">
        <v>7</v>
      </c>
      <c r="K407" t="s">
        <v>126</v>
      </c>
    </row>
    <row r="408" spans="3:11" ht="12.75">
      <c r="C408" t="s">
        <v>127</v>
      </c>
      <c r="D408" t="s">
        <v>128</v>
      </c>
      <c r="E408" s="8">
        <f>1*0</f>
        <v>0</v>
      </c>
      <c r="F408" s="8">
        <f>1*5000</f>
        <v>5000</v>
      </c>
      <c r="G408" s="12">
        <f>E408-F408</f>
        <v>-5000</v>
      </c>
      <c r="H408" s="13">
        <f>IF(F408&lt;&gt;0,G408/F408*100,0)</f>
        <v>-100</v>
      </c>
      <c r="J408">
        <v>7</v>
      </c>
      <c r="K408" t="s">
        <v>127</v>
      </c>
    </row>
    <row r="409" spans="3:11" ht="12.75">
      <c r="C409" t="s">
        <v>129</v>
      </c>
      <c r="D409" t="s">
        <v>128</v>
      </c>
      <c r="E409" s="8">
        <f>1*1721.27</f>
        <v>1721.27</v>
      </c>
      <c r="F409" s="8">
        <f>1*12000</f>
        <v>12000</v>
      </c>
      <c r="G409" s="12">
        <f>E409-F409</f>
        <v>-10278.73</v>
      </c>
      <c r="H409" s="13">
        <f>IF(F409&lt;&gt;0,G409/F409*100,0)</f>
        <v>-85.65608333333333</v>
      </c>
      <c r="J409">
        <v>7</v>
      </c>
      <c r="K409" t="s">
        <v>130</v>
      </c>
    </row>
    <row r="410" spans="3:11" ht="12.75">
      <c r="C410" t="s">
        <v>131</v>
      </c>
      <c r="D410" t="s">
        <v>128</v>
      </c>
      <c r="E410" s="8">
        <f>1*1721.26</f>
        <v>1721.26</v>
      </c>
      <c r="F410" s="8">
        <f>1*12000</f>
        <v>12000</v>
      </c>
      <c r="G410" s="12">
        <f>E410-F410</f>
        <v>-10278.74</v>
      </c>
      <c r="H410" s="13">
        <f>IF(F410&lt;&gt;0,G410/F410*100,0)</f>
        <v>-85.65616666666666</v>
      </c>
      <c r="J410">
        <v>7</v>
      </c>
      <c r="K410" t="s">
        <v>132</v>
      </c>
    </row>
    <row r="411" spans="3:11" ht="12.75">
      <c r="C411" t="s">
        <v>133</v>
      </c>
      <c r="D411" t="s">
        <v>135</v>
      </c>
      <c r="E411" s="8">
        <f>1*0</f>
        <v>0</v>
      </c>
      <c r="F411" s="8">
        <f>1*54000</f>
        <v>54000</v>
      </c>
      <c r="G411" s="12">
        <f>E411-F411</f>
        <v>-54000</v>
      </c>
      <c r="H411" s="13">
        <f>IF(F411&lt;&gt;0,G411/F411*100,0)</f>
        <v>-100</v>
      </c>
      <c r="J411">
        <v>7</v>
      </c>
      <c r="K411" t="s">
        <v>134</v>
      </c>
    </row>
    <row r="412" spans="3:11" ht="12.75">
      <c r="C412" t="s">
        <v>136</v>
      </c>
      <c r="D412" t="s">
        <v>135</v>
      </c>
      <c r="E412" s="8">
        <f>1*0</f>
        <v>0</v>
      </c>
      <c r="F412" s="8">
        <f>1*125000</f>
        <v>125000</v>
      </c>
      <c r="G412" s="12">
        <f>E412-F412</f>
        <v>-125000</v>
      </c>
      <c r="H412" s="13">
        <f>IF(F412&lt;&gt;0,G412/F412*100,0)</f>
        <v>-100</v>
      </c>
      <c r="J412">
        <v>7</v>
      </c>
      <c r="K412" t="s">
        <v>137</v>
      </c>
    </row>
    <row r="413" spans="3:11" ht="12.75">
      <c r="C413" t="s">
        <v>138</v>
      </c>
      <c r="D413" t="s">
        <v>140</v>
      </c>
      <c r="E413" s="8">
        <f>1*0</f>
        <v>0</v>
      </c>
      <c r="F413" s="8">
        <f>1*14000</f>
        <v>14000</v>
      </c>
      <c r="G413" s="12">
        <f>E413-F413</f>
        <v>-14000</v>
      </c>
      <c r="H413" s="13">
        <f>IF(F413&lt;&gt;0,G413/F413*100,0)</f>
        <v>-100</v>
      </c>
      <c r="J413">
        <v>7</v>
      </c>
      <c r="K413" t="s">
        <v>139</v>
      </c>
    </row>
    <row r="414" spans="3:11" ht="12.75">
      <c r="C414" t="s">
        <v>141</v>
      </c>
      <c r="D414" t="s">
        <v>140</v>
      </c>
      <c r="E414" s="8">
        <f>1*0</f>
        <v>0</v>
      </c>
      <c r="F414" s="8">
        <f>1*16000</f>
        <v>16000</v>
      </c>
      <c r="G414" s="12">
        <f>E414-F414</f>
        <v>-16000</v>
      </c>
      <c r="H414" s="13">
        <f>IF(F414&lt;&gt;0,G414/F414*100,0)</f>
        <v>-100</v>
      </c>
      <c r="J414">
        <v>7</v>
      </c>
      <c r="K414" t="s">
        <v>142</v>
      </c>
    </row>
    <row r="415" spans="3:11" ht="12.75">
      <c r="C415" t="s">
        <v>143</v>
      </c>
      <c r="D415" t="s">
        <v>144</v>
      </c>
      <c r="E415" s="8">
        <f>1*0</f>
        <v>0</v>
      </c>
      <c r="F415" s="8">
        <f>1*16000</f>
        <v>16000</v>
      </c>
      <c r="G415" s="12">
        <f>E415-F415</f>
        <v>-16000</v>
      </c>
      <c r="H415" s="13">
        <f>IF(F415&lt;&gt;0,G415/F415*100,0)</f>
        <v>-100</v>
      </c>
      <c r="J415">
        <v>7</v>
      </c>
      <c r="K415" t="s">
        <v>143</v>
      </c>
    </row>
    <row r="416" ht="12.75">
      <c r="J416">
        <v>7.1</v>
      </c>
    </row>
    <row r="417" spans="1:11" ht="12.75">
      <c r="A417" t="s">
        <v>19</v>
      </c>
      <c r="B417" s="10">
        <v>44074</v>
      </c>
      <c r="C417" t="s">
        <v>11</v>
      </c>
      <c r="D417" t="s">
        <v>12</v>
      </c>
      <c r="E417" s="8">
        <f>-1*0</f>
        <v>0</v>
      </c>
      <c r="F417" s="8">
        <f>-1*-400000</f>
        <v>400000</v>
      </c>
      <c r="G417" s="12">
        <f>E417-F417</f>
        <v>-400000</v>
      </c>
      <c r="H417" s="13">
        <f>IF(F417&lt;&gt;0,G417/F417*100,0)</f>
        <v>-100</v>
      </c>
      <c r="J417">
        <v>8</v>
      </c>
      <c r="K417" t="s">
        <v>11</v>
      </c>
    </row>
    <row r="418" spans="3:11" ht="12.75">
      <c r="C418" t="s">
        <v>24</v>
      </c>
      <c r="D418" t="s">
        <v>12</v>
      </c>
      <c r="E418" s="8">
        <f>-1*0</f>
        <v>0</v>
      </c>
      <c r="F418" s="8">
        <f>-1*-82000</f>
        <v>82000</v>
      </c>
      <c r="G418" s="12">
        <f>E418-F418</f>
        <v>-82000</v>
      </c>
      <c r="H418" s="13">
        <f>IF(F418&lt;&gt;0,G418/F418*100,0)</f>
        <v>-100</v>
      </c>
      <c r="J418">
        <v>8</v>
      </c>
      <c r="K418" t="s">
        <v>25</v>
      </c>
    </row>
    <row r="419" spans="3:11" ht="12.75">
      <c r="C419" t="s">
        <v>26</v>
      </c>
      <c r="D419" t="s">
        <v>12</v>
      </c>
      <c r="E419" s="8">
        <f>-1*0</f>
        <v>0</v>
      </c>
      <c r="F419" s="8">
        <f>-1*-186000</f>
        <v>186000</v>
      </c>
      <c r="G419" s="12">
        <f>E419-F419</f>
        <v>-186000</v>
      </c>
      <c r="H419" s="13">
        <f>IF(F419&lt;&gt;0,G419/F419*100,0)</f>
        <v>-100</v>
      </c>
      <c r="J419">
        <v>8</v>
      </c>
      <c r="K419" t="s">
        <v>27</v>
      </c>
    </row>
    <row r="420" spans="3:11" ht="12.75">
      <c r="C420" t="s">
        <v>28</v>
      </c>
      <c r="D420" t="s">
        <v>30</v>
      </c>
      <c r="E420" s="8">
        <f>-1*0</f>
        <v>0</v>
      </c>
      <c r="F420" s="8">
        <f>-1*-5000</f>
        <v>5000</v>
      </c>
      <c r="G420" s="12">
        <f>E420-F420</f>
        <v>-5000</v>
      </c>
      <c r="H420" s="13">
        <f>IF(F420&lt;&gt;0,G420/F420*100,0)</f>
        <v>-100</v>
      </c>
      <c r="J420">
        <v>8</v>
      </c>
      <c r="K420" t="s">
        <v>29</v>
      </c>
    </row>
    <row r="421" spans="3:11" ht="12.75">
      <c r="C421" t="s">
        <v>31</v>
      </c>
      <c r="D421" t="s">
        <v>30</v>
      </c>
      <c r="E421" s="8">
        <f>-1*0</f>
        <v>0</v>
      </c>
      <c r="F421" s="8">
        <f>-1*-7000</f>
        <v>7000</v>
      </c>
      <c r="G421" s="12">
        <f>E421-F421</f>
        <v>-7000</v>
      </c>
      <c r="H421" s="13">
        <f>IF(F421&lt;&gt;0,G421/F421*100,0)</f>
        <v>-100</v>
      </c>
      <c r="J421">
        <v>8</v>
      </c>
      <c r="K421" t="s">
        <v>32</v>
      </c>
    </row>
    <row r="422" spans="3:11" ht="12.75">
      <c r="C422" t="s">
        <v>33</v>
      </c>
      <c r="D422" t="s">
        <v>30</v>
      </c>
      <c r="E422" s="8">
        <f>-1*0</f>
        <v>0</v>
      </c>
      <c r="F422" s="8">
        <f>-1*-2000</f>
        <v>2000</v>
      </c>
      <c r="G422" s="12">
        <f>E422-F422</f>
        <v>-2000</v>
      </c>
      <c r="H422" s="13">
        <f>IF(F422&lt;&gt;0,G422/F422*100,0)</f>
        <v>-100</v>
      </c>
      <c r="J422">
        <v>8</v>
      </c>
      <c r="K422" t="s">
        <v>34</v>
      </c>
    </row>
    <row r="423" spans="3:11" ht="12.75">
      <c r="C423" t="s">
        <v>35</v>
      </c>
      <c r="D423" t="s">
        <v>30</v>
      </c>
      <c r="E423" s="8">
        <f>-1*0</f>
        <v>0</v>
      </c>
      <c r="F423" s="8">
        <f>-1*-2000</f>
        <v>2000</v>
      </c>
      <c r="G423" s="12">
        <f>E423-F423</f>
        <v>-2000</v>
      </c>
      <c r="H423" s="13">
        <f>IF(F423&lt;&gt;0,G423/F423*100,0)</f>
        <v>-100</v>
      </c>
      <c r="J423">
        <v>8</v>
      </c>
      <c r="K423" t="s">
        <v>36</v>
      </c>
    </row>
    <row r="424" spans="3:11" ht="12.75">
      <c r="C424" t="s">
        <v>37</v>
      </c>
      <c r="D424" t="s">
        <v>30</v>
      </c>
      <c r="E424" s="8">
        <f>-1*0</f>
        <v>0</v>
      </c>
      <c r="F424" s="8">
        <f>-1*-6000</f>
        <v>6000</v>
      </c>
      <c r="G424" s="12">
        <f>E424-F424</f>
        <v>-6000</v>
      </c>
      <c r="H424" s="13">
        <f>IF(F424&lt;&gt;0,G424/F424*100,0)</f>
        <v>-100</v>
      </c>
      <c r="J424">
        <v>8</v>
      </c>
      <c r="K424" t="s">
        <v>38</v>
      </c>
    </row>
    <row r="425" spans="3:11" ht="12.75">
      <c r="C425" t="s">
        <v>39</v>
      </c>
      <c r="D425" t="s">
        <v>30</v>
      </c>
      <c r="E425" s="8">
        <f>-1*0</f>
        <v>0</v>
      </c>
      <c r="F425" s="8">
        <f>-1*-6000</f>
        <v>6000</v>
      </c>
      <c r="G425" s="12">
        <f>E425-F425</f>
        <v>-6000</v>
      </c>
      <c r="H425" s="13">
        <f>IF(F425&lt;&gt;0,G425/F425*100,0)</f>
        <v>-100</v>
      </c>
      <c r="J425">
        <v>8</v>
      </c>
      <c r="K425" t="s">
        <v>40</v>
      </c>
    </row>
    <row r="426" spans="3:11" ht="12.75">
      <c r="C426" t="s">
        <v>41</v>
      </c>
      <c r="D426" t="s">
        <v>30</v>
      </c>
      <c r="E426" s="8">
        <f>-1*0</f>
        <v>0</v>
      </c>
      <c r="F426" s="8">
        <f>-1*-3000</f>
        <v>3000</v>
      </c>
      <c r="G426" s="12">
        <f>E426-F426</f>
        <v>-3000</v>
      </c>
      <c r="H426" s="13">
        <f>IF(F426&lt;&gt;0,G426/F426*100,0)</f>
        <v>-100</v>
      </c>
      <c r="J426">
        <v>8</v>
      </c>
      <c r="K426" t="s">
        <v>42</v>
      </c>
    </row>
    <row r="427" spans="3:11" ht="12.75">
      <c r="C427" t="s">
        <v>43</v>
      </c>
      <c r="D427" t="s">
        <v>30</v>
      </c>
      <c r="E427" s="8">
        <f>-1*0</f>
        <v>0</v>
      </c>
      <c r="F427" s="8">
        <f>-1*-3000</f>
        <v>3000</v>
      </c>
      <c r="G427" s="12">
        <f>E427-F427</f>
        <v>-3000</v>
      </c>
      <c r="H427" s="13">
        <f>IF(F427&lt;&gt;0,G427/F427*100,0)</f>
        <v>-100</v>
      </c>
      <c r="J427">
        <v>8</v>
      </c>
      <c r="K427" t="s">
        <v>44</v>
      </c>
    </row>
    <row r="428" spans="3:11" ht="12.75">
      <c r="C428" t="s">
        <v>45</v>
      </c>
      <c r="D428" t="s">
        <v>46</v>
      </c>
      <c r="E428" s="8">
        <f>-1*0</f>
        <v>0</v>
      </c>
      <c r="F428" s="8">
        <f>-1*-16000</f>
        <v>16000</v>
      </c>
      <c r="G428" s="12">
        <f>E428-F428</f>
        <v>-16000</v>
      </c>
      <c r="H428" s="13">
        <f>IF(F428&lt;&gt;0,G428/F428*100,0)</f>
        <v>-100</v>
      </c>
      <c r="J428">
        <v>8</v>
      </c>
      <c r="K428" t="s">
        <v>45</v>
      </c>
    </row>
    <row r="429" spans="3:11" ht="12.75">
      <c r="C429" t="s">
        <v>47</v>
      </c>
      <c r="D429" t="s">
        <v>48</v>
      </c>
      <c r="E429" s="8">
        <f>-1*0</f>
        <v>0</v>
      </c>
      <c r="F429" s="8">
        <f>-1*-47000</f>
        <v>47000</v>
      </c>
      <c r="G429" s="12">
        <f>E429-F429</f>
        <v>-47000</v>
      </c>
      <c r="H429" s="13">
        <f>IF(F429&lt;&gt;0,G429/F429*100,0)</f>
        <v>-100</v>
      </c>
      <c r="J429">
        <v>8</v>
      </c>
      <c r="K429" t="s">
        <v>47</v>
      </c>
    </row>
    <row r="430" spans="3:11" ht="12.75">
      <c r="C430" t="s">
        <v>49</v>
      </c>
      <c r="D430" t="s">
        <v>50</v>
      </c>
      <c r="E430" s="8">
        <f>-1*0</f>
        <v>0</v>
      </c>
      <c r="F430" s="8">
        <f>-1*-28000</f>
        <v>28000</v>
      </c>
      <c r="G430" s="12">
        <f>E430-F430</f>
        <v>-28000</v>
      </c>
      <c r="H430" s="13">
        <f>IF(F430&lt;&gt;0,G430/F430*100,0)</f>
        <v>-100</v>
      </c>
      <c r="J430">
        <v>8</v>
      </c>
      <c r="K430" t="s">
        <v>49</v>
      </c>
    </row>
    <row r="431" spans="3:11" ht="12.75">
      <c r="C431" t="s">
        <v>51</v>
      </c>
      <c r="D431" t="s">
        <v>52</v>
      </c>
      <c r="E431" s="8">
        <f>-1*0</f>
        <v>0</v>
      </c>
      <c r="F431" s="8">
        <f>-1*-60000</f>
        <v>60000</v>
      </c>
      <c r="G431" s="12">
        <f>E431-F431</f>
        <v>-60000</v>
      </c>
      <c r="H431" s="13">
        <f>IF(F431&lt;&gt;0,G431/F431*100,0)</f>
        <v>-100</v>
      </c>
      <c r="J431">
        <v>8</v>
      </c>
      <c r="K431" t="s">
        <v>51</v>
      </c>
    </row>
    <row r="432" spans="3:11" ht="12.75">
      <c r="C432" t="s">
        <v>53</v>
      </c>
      <c r="D432" t="s">
        <v>54</v>
      </c>
      <c r="E432" s="8">
        <f>-1*0</f>
        <v>0</v>
      </c>
      <c r="F432" s="8">
        <f>-1*-16000</f>
        <v>16000</v>
      </c>
      <c r="G432" s="12">
        <f>E432-F432</f>
        <v>-16000</v>
      </c>
      <c r="H432" s="13">
        <f>IF(F432&lt;&gt;0,G432/F432*100,0)</f>
        <v>-100</v>
      </c>
      <c r="J432">
        <v>8</v>
      </c>
      <c r="K432" t="s">
        <v>53</v>
      </c>
    </row>
    <row r="433" spans="3:11" ht="12.75">
      <c r="C433" t="s">
        <v>55</v>
      </c>
      <c r="D433" t="s">
        <v>56</v>
      </c>
      <c r="E433" s="8">
        <f>1*0</f>
        <v>0</v>
      </c>
      <c r="F433" s="8">
        <f>1*10000</f>
        <v>10000</v>
      </c>
      <c r="G433" s="12">
        <f>E433-F433</f>
        <v>-10000</v>
      </c>
      <c r="H433" s="13">
        <f>IF(F433&lt;&gt;0,G433/F433*100,0)</f>
        <v>-100</v>
      </c>
      <c r="J433">
        <v>8</v>
      </c>
      <c r="K433" t="s">
        <v>55</v>
      </c>
    </row>
    <row r="434" spans="3:11" ht="12.75">
      <c r="C434" t="s">
        <v>57</v>
      </c>
      <c r="D434" t="s">
        <v>58</v>
      </c>
      <c r="E434" s="8">
        <f>1*0</f>
        <v>0</v>
      </c>
      <c r="F434" s="8">
        <f>1*67000</f>
        <v>67000</v>
      </c>
      <c r="G434" s="12">
        <f>E434-F434</f>
        <v>-67000</v>
      </c>
      <c r="H434" s="13">
        <f>IF(F434&lt;&gt;0,G434/F434*100,0)</f>
        <v>-100</v>
      </c>
      <c r="J434">
        <v>8</v>
      </c>
      <c r="K434" t="s">
        <v>57</v>
      </c>
    </row>
    <row r="435" spans="3:11" ht="12.75">
      <c r="C435" t="s">
        <v>59</v>
      </c>
      <c r="D435" t="s">
        <v>60</v>
      </c>
      <c r="E435" s="8">
        <f>1*0</f>
        <v>0</v>
      </c>
      <c r="F435" s="8">
        <f>1*15000</f>
        <v>15000</v>
      </c>
      <c r="G435" s="12">
        <f>E435-F435</f>
        <v>-15000</v>
      </c>
      <c r="H435" s="13">
        <f>IF(F435&lt;&gt;0,G435/F435*100,0)</f>
        <v>-100</v>
      </c>
      <c r="J435">
        <v>8</v>
      </c>
      <c r="K435" t="s">
        <v>59</v>
      </c>
    </row>
    <row r="436" spans="3:11" ht="12.75">
      <c r="C436" t="s">
        <v>61</v>
      </c>
      <c r="D436" t="s">
        <v>60</v>
      </c>
      <c r="E436" s="8">
        <f>1*0</f>
        <v>0</v>
      </c>
      <c r="F436" s="8">
        <f>1*8000</f>
        <v>8000</v>
      </c>
      <c r="G436" s="12">
        <f>E436-F436</f>
        <v>-8000</v>
      </c>
      <c r="H436" s="13">
        <f>IF(F436&lt;&gt;0,G436/F436*100,0)</f>
        <v>-100</v>
      </c>
      <c r="J436">
        <v>8</v>
      </c>
      <c r="K436" t="s">
        <v>62</v>
      </c>
    </row>
    <row r="437" spans="3:11" ht="12.75">
      <c r="C437" t="s">
        <v>63</v>
      </c>
      <c r="D437" t="s">
        <v>60</v>
      </c>
      <c r="E437" s="8">
        <f>1*0</f>
        <v>0</v>
      </c>
      <c r="F437" s="8">
        <f>1*12000</f>
        <v>12000</v>
      </c>
      <c r="G437" s="12">
        <f>E437-F437</f>
        <v>-12000</v>
      </c>
      <c r="H437" s="13">
        <f>IF(F437&lt;&gt;0,G437/F437*100,0)</f>
        <v>-100</v>
      </c>
      <c r="J437">
        <v>8</v>
      </c>
      <c r="K437" t="s">
        <v>64</v>
      </c>
    </row>
    <row r="438" spans="3:11" ht="12.75">
      <c r="C438" t="s">
        <v>65</v>
      </c>
      <c r="D438" t="s">
        <v>66</v>
      </c>
      <c r="E438" s="8">
        <f>1*0</f>
        <v>0</v>
      </c>
      <c r="F438" s="8">
        <f>1*60000</f>
        <v>60000</v>
      </c>
      <c r="G438" s="12">
        <f>E438-F438</f>
        <v>-60000</v>
      </c>
      <c r="H438" s="13">
        <f>IF(F438&lt;&gt;0,G438/F438*100,0)</f>
        <v>-100</v>
      </c>
      <c r="J438">
        <v>8</v>
      </c>
      <c r="K438" t="s">
        <v>65</v>
      </c>
    </row>
    <row r="439" spans="3:11" ht="12.75">
      <c r="C439" t="s">
        <v>67</v>
      </c>
      <c r="D439" t="s">
        <v>66</v>
      </c>
      <c r="E439" s="8">
        <f>1*0</f>
        <v>0</v>
      </c>
      <c r="F439" s="8">
        <f>1*26000</f>
        <v>26000</v>
      </c>
      <c r="G439" s="12">
        <f>E439-F439</f>
        <v>-26000</v>
      </c>
      <c r="H439" s="13">
        <f>IF(F439&lt;&gt;0,G439/F439*100,0)</f>
        <v>-100</v>
      </c>
      <c r="J439">
        <v>8</v>
      </c>
      <c r="K439" t="s">
        <v>68</v>
      </c>
    </row>
    <row r="440" spans="3:11" ht="12.75">
      <c r="C440" t="s">
        <v>69</v>
      </c>
      <c r="D440" t="s">
        <v>66</v>
      </c>
      <c r="E440" s="8">
        <f>1*0</f>
        <v>0</v>
      </c>
      <c r="F440" s="8">
        <f>1*14000</f>
        <v>14000</v>
      </c>
      <c r="G440" s="12">
        <f>E440-F440</f>
        <v>-14000</v>
      </c>
      <c r="H440" s="13">
        <f>IF(F440&lt;&gt;0,G440/F440*100,0)</f>
        <v>-100</v>
      </c>
      <c r="J440">
        <v>8</v>
      </c>
      <c r="K440" t="s">
        <v>70</v>
      </c>
    </row>
    <row r="441" spans="3:11" ht="12.75">
      <c r="C441" t="s">
        <v>71</v>
      </c>
      <c r="D441" t="s">
        <v>72</v>
      </c>
      <c r="E441" s="8">
        <f>1*0</f>
        <v>0</v>
      </c>
      <c r="F441" s="8">
        <f>1*13000</f>
        <v>13000</v>
      </c>
      <c r="G441" s="12">
        <f>E441-F441</f>
        <v>-13000</v>
      </c>
      <c r="H441" s="13">
        <f>IF(F441&lt;&gt;0,G441/F441*100,0)</f>
        <v>-100</v>
      </c>
      <c r="J441">
        <v>8</v>
      </c>
      <c r="K441" t="s">
        <v>71</v>
      </c>
    </row>
    <row r="442" spans="3:11" ht="12.75">
      <c r="C442" t="s">
        <v>73</v>
      </c>
      <c r="D442" t="s">
        <v>74</v>
      </c>
      <c r="E442" s="8">
        <f>1*0</f>
        <v>0</v>
      </c>
      <c r="F442" s="8">
        <f>1*3000</f>
        <v>3000</v>
      </c>
      <c r="G442" s="12">
        <f>E442-F442</f>
        <v>-3000</v>
      </c>
      <c r="H442" s="13">
        <f>IF(F442&lt;&gt;0,G442/F442*100,0)</f>
        <v>-100</v>
      </c>
      <c r="J442">
        <v>8</v>
      </c>
      <c r="K442" t="s">
        <v>73</v>
      </c>
    </row>
    <row r="443" spans="3:11" ht="12.75">
      <c r="C443" t="s">
        <v>75</v>
      </c>
      <c r="D443" t="s">
        <v>77</v>
      </c>
      <c r="E443" s="8">
        <f>1*0</f>
        <v>0</v>
      </c>
      <c r="F443" s="8">
        <f>1*12000</f>
        <v>12000</v>
      </c>
      <c r="G443" s="12">
        <f>E443-F443</f>
        <v>-12000</v>
      </c>
      <c r="H443" s="13">
        <f>IF(F443&lt;&gt;0,G443/F443*100,0)</f>
        <v>-100</v>
      </c>
      <c r="J443">
        <v>8</v>
      </c>
      <c r="K443" t="s">
        <v>76</v>
      </c>
    </row>
    <row r="444" spans="3:11" ht="12.75">
      <c r="C444" t="s">
        <v>78</v>
      </c>
      <c r="D444" t="s">
        <v>77</v>
      </c>
      <c r="E444" s="8">
        <f>1*0</f>
        <v>0</v>
      </c>
      <c r="F444" s="8">
        <f>1*10000</f>
        <v>10000</v>
      </c>
      <c r="G444" s="12">
        <f>E444-F444</f>
        <v>-10000</v>
      </c>
      <c r="H444" s="13">
        <f>IF(F444&lt;&gt;0,G444/F444*100,0)</f>
        <v>-100</v>
      </c>
      <c r="J444">
        <v>8</v>
      </c>
      <c r="K444" t="s">
        <v>79</v>
      </c>
    </row>
    <row r="445" spans="3:11" ht="12.75">
      <c r="C445" t="s">
        <v>80</v>
      </c>
      <c r="D445" t="s">
        <v>81</v>
      </c>
      <c r="E445" s="8">
        <f>1*0</f>
        <v>0</v>
      </c>
      <c r="F445" s="8">
        <f>1*16000</f>
        <v>16000</v>
      </c>
      <c r="G445" s="12">
        <f>E445-F445</f>
        <v>-16000</v>
      </c>
      <c r="H445" s="13">
        <f>IF(F445&lt;&gt;0,G445/F445*100,0)</f>
        <v>-100</v>
      </c>
      <c r="J445">
        <v>8</v>
      </c>
      <c r="K445" t="s">
        <v>80</v>
      </c>
    </row>
    <row r="446" spans="3:11" ht="12.75">
      <c r="C446" t="s">
        <v>82</v>
      </c>
      <c r="D446" t="s">
        <v>84</v>
      </c>
      <c r="E446" s="8">
        <f>1*0</f>
        <v>0</v>
      </c>
      <c r="F446" s="8">
        <f>1*13000</f>
        <v>13000</v>
      </c>
      <c r="G446" s="12">
        <f>E446-F446</f>
        <v>-13000</v>
      </c>
      <c r="H446" s="13">
        <f>IF(F446&lt;&gt;0,G446/F446*100,0)</f>
        <v>-100</v>
      </c>
      <c r="J446">
        <v>8</v>
      </c>
      <c r="K446" t="s">
        <v>83</v>
      </c>
    </row>
    <row r="447" spans="3:11" ht="12.75">
      <c r="C447" t="s">
        <v>85</v>
      </c>
      <c r="D447" t="s">
        <v>84</v>
      </c>
      <c r="E447" s="8">
        <f>1*0</f>
        <v>0</v>
      </c>
      <c r="F447" s="8">
        <f>1*13000</f>
        <v>13000</v>
      </c>
      <c r="G447" s="12">
        <f>E447-F447</f>
        <v>-13000</v>
      </c>
      <c r="H447" s="13">
        <f>IF(F447&lt;&gt;0,G447/F447*100,0)</f>
        <v>-100</v>
      </c>
      <c r="J447">
        <v>8</v>
      </c>
      <c r="K447" t="s">
        <v>86</v>
      </c>
    </row>
    <row r="448" spans="3:11" ht="12.75">
      <c r="C448" t="s">
        <v>87</v>
      </c>
      <c r="D448" t="s">
        <v>88</v>
      </c>
      <c r="E448" s="8">
        <f>1*0</f>
        <v>0</v>
      </c>
      <c r="F448" s="8">
        <f>1*10000</f>
        <v>10000</v>
      </c>
      <c r="G448" s="12">
        <f>E448-F448</f>
        <v>-10000</v>
      </c>
      <c r="H448" s="13">
        <f>IF(F448&lt;&gt;0,G448/F448*100,0)</f>
        <v>-100</v>
      </c>
      <c r="J448">
        <v>8</v>
      </c>
      <c r="K448" t="s">
        <v>87</v>
      </c>
    </row>
    <row r="449" spans="3:11" ht="12.75">
      <c r="C449" t="s">
        <v>89</v>
      </c>
      <c r="D449" t="s">
        <v>90</v>
      </c>
      <c r="E449" s="8">
        <f>1*0</f>
        <v>0</v>
      </c>
      <c r="F449" s="8">
        <f>1*29000</f>
        <v>29000</v>
      </c>
      <c r="G449" s="12">
        <f>E449-F449</f>
        <v>-29000</v>
      </c>
      <c r="H449" s="13">
        <f>IF(F449&lt;&gt;0,G449/F449*100,0)</f>
        <v>-100</v>
      </c>
      <c r="J449">
        <v>8</v>
      </c>
      <c r="K449" t="s">
        <v>89</v>
      </c>
    </row>
    <row r="450" spans="3:11" ht="12.75">
      <c r="C450" t="s">
        <v>91</v>
      </c>
      <c r="D450" t="s">
        <v>92</v>
      </c>
      <c r="E450" s="8">
        <f>1*0</f>
        <v>0</v>
      </c>
      <c r="F450" s="8">
        <f>1*3000</f>
        <v>3000</v>
      </c>
      <c r="G450" s="12">
        <f>E450-F450</f>
        <v>-3000</v>
      </c>
      <c r="H450" s="13">
        <f>IF(F450&lt;&gt;0,G450/F450*100,0)</f>
        <v>-100</v>
      </c>
      <c r="J450">
        <v>8</v>
      </c>
      <c r="K450" t="s">
        <v>91</v>
      </c>
    </row>
    <row r="451" spans="3:11" ht="12.75">
      <c r="C451" t="s">
        <v>93</v>
      </c>
      <c r="D451" t="s">
        <v>95</v>
      </c>
      <c r="E451" s="8">
        <f>1*0</f>
        <v>0</v>
      </c>
      <c r="F451" s="8">
        <f>1*12000</f>
        <v>12000</v>
      </c>
      <c r="G451" s="12">
        <f>E451-F451</f>
        <v>-12000</v>
      </c>
      <c r="H451" s="13">
        <f>IF(F451&lt;&gt;0,G451/F451*100,0)</f>
        <v>-100</v>
      </c>
      <c r="J451">
        <v>8</v>
      </c>
      <c r="K451" t="s">
        <v>94</v>
      </c>
    </row>
    <row r="452" spans="3:11" ht="12.75">
      <c r="C452" t="s">
        <v>96</v>
      </c>
      <c r="D452" t="s">
        <v>95</v>
      </c>
      <c r="E452" s="8">
        <f>1*0</f>
        <v>0</v>
      </c>
      <c r="F452" s="8">
        <f>1*17000</f>
        <v>17000</v>
      </c>
      <c r="G452" s="12">
        <f>E452-F452</f>
        <v>-17000</v>
      </c>
      <c r="H452" s="13">
        <f>IF(F452&lt;&gt;0,G452/F452*100,0)</f>
        <v>-100</v>
      </c>
      <c r="J452">
        <v>8</v>
      </c>
      <c r="K452" t="s">
        <v>97</v>
      </c>
    </row>
    <row r="453" spans="3:11" ht="12.75">
      <c r="C453" t="s">
        <v>98</v>
      </c>
      <c r="D453" t="s">
        <v>99</v>
      </c>
      <c r="E453" s="8">
        <f>1*0</f>
        <v>0</v>
      </c>
      <c r="F453" s="8">
        <f>1*7000</f>
        <v>7000</v>
      </c>
      <c r="G453" s="12">
        <f>E453-F453</f>
        <v>-7000</v>
      </c>
      <c r="H453" s="13">
        <f>IF(F453&lt;&gt;0,G453/F453*100,0)</f>
        <v>-100</v>
      </c>
      <c r="J453">
        <v>8</v>
      </c>
      <c r="K453" t="s">
        <v>98</v>
      </c>
    </row>
    <row r="454" spans="3:11" ht="12.75">
      <c r="C454" t="s">
        <v>100</v>
      </c>
      <c r="D454" t="s">
        <v>102</v>
      </c>
      <c r="E454" s="8">
        <f>1*0</f>
        <v>0</v>
      </c>
      <c r="F454" s="8">
        <f>1*18000</f>
        <v>18000</v>
      </c>
      <c r="G454" s="12">
        <f>E454-F454</f>
        <v>-18000</v>
      </c>
      <c r="H454" s="13">
        <f>IF(F454&lt;&gt;0,G454/F454*100,0)</f>
        <v>-100</v>
      </c>
      <c r="J454">
        <v>8</v>
      </c>
      <c r="K454" t="s">
        <v>101</v>
      </c>
    </row>
    <row r="455" spans="3:11" ht="12.75">
      <c r="C455" t="s">
        <v>103</v>
      </c>
      <c r="D455" t="s">
        <v>102</v>
      </c>
      <c r="E455" s="8">
        <f>1*0</f>
        <v>0</v>
      </c>
      <c r="F455" s="8">
        <f>1*17000</f>
        <v>17000</v>
      </c>
      <c r="G455" s="12">
        <f>E455-F455</f>
        <v>-17000</v>
      </c>
      <c r="H455" s="13">
        <f>IF(F455&lt;&gt;0,G455/F455*100,0)</f>
        <v>-100</v>
      </c>
      <c r="J455">
        <v>8</v>
      </c>
      <c r="K455" t="s">
        <v>104</v>
      </c>
    </row>
    <row r="456" spans="3:11" ht="12.75">
      <c r="C456" t="s">
        <v>105</v>
      </c>
      <c r="D456" t="s">
        <v>106</v>
      </c>
      <c r="E456" s="8">
        <f>1*106</f>
        <v>106</v>
      </c>
      <c r="F456" s="8">
        <f>1*8000</f>
        <v>8000</v>
      </c>
      <c r="G456" s="12">
        <f>E456-F456</f>
        <v>-7894</v>
      </c>
      <c r="H456" s="13">
        <f>IF(F456&lt;&gt;0,G456/F456*100,0)</f>
        <v>-98.675</v>
      </c>
      <c r="J456">
        <v>8</v>
      </c>
      <c r="K456" t="s">
        <v>105</v>
      </c>
    </row>
    <row r="457" spans="3:11" ht="12.75">
      <c r="C457" t="s">
        <v>107</v>
      </c>
      <c r="D457" t="s">
        <v>108</v>
      </c>
      <c r="E457" s="8">
        <f>1*3.5</f>
        <v>3.5</v>
      </c>
      <c r="F457" s="8">
        <f>1*33000</f>
        <v>33000</v>
      </c>
      <c r="G457" s="12">
        <f>E457-F457</f>
        <v>-32996.5</v>
      </c>
      <c r="H457" s="13">
        <f>IF(F457&lt;&gt;0,G457/F457*100,0)</f>
        <v>-99.98939393939395</v>
      </c>
      <c r="J457">
        <v>8</v>
      </c>
      <c r="K457" t="s">
        <v>107</v>
      </c>
    </row>
    <row r="458" spans="3:11" ht="12.75">
      <c r="C458" t="s">
        <v>109</v>
      </c>
      <c r="D458" t="s">
        <v>110</v>
      </c>
      <c r="E458" s="8">
        <f>1*0</f>
        <v>0</v>
      </c>
      <c r="F458" s="8">
        <f>1*44000</f>
        <v>44000</v>
      </c>
      <c r="G458" s="12">
        <f>E458-F458</f>
        <v>-44000</v>
      </c>
      <c r="H458" s="13">
        <f>IF(F458&lt;&gt;0,G458/F458*100,0)</f>
        <v>-100</v>
      </c>
      <c r="J458">
        <v>8</v>
      </c>
      <c r="K458" t="s">
        <v>109</v>
      </c>
    </row>
    <row r="459" spans="3:11" ht="12.75">
      <c r="C459" t="s">
        <v>111</v>
      </c>
      <c r="D459" t="s">
        <v>112</v>
      </c>
      <c r="E459" s="8">
        <f>1*5000</f>
        <v>5000</v>
      </c>
      <c r="F459" s="8">
        <f>1*10000</f>
        <v>10000</v>
      </c>
      <c r="G459" s="12">
        <f>E459-F459</f>
        <v>-5000</v>
      </c>
      <c r="H459" s="13">
        <f>IF(F459&lt;&gt;0,G459/F459*100,0)</f>
        <v>-50</v>
      </c>
      <c r="J459">
        <v>8</v>
      </c>
      <c r="K459" t="s">
        <v>111</v>
      </c>
    </row>
    <row r="460" spans="3:11" ht="12.75">
      <c r="C460" t="s">
        <v>113</v>
      </c>
      <c r="D460" t="s">
        <v>114</v>
      </c>
      <c r="E460" s="8">
        <f>1*0</f>
        <v>0</v>
      </c>
      <c r="F460" s="8">
        <f>1*38000</f>
        <v>38000</v>
      </c>
      <c r="G460" s="12">
        <f>E460-F460</f>
        <v>-38000</v>
      </c>
      <c r="H460" s="13">
        <f>IF(F460&lt;&gt;0,G460/F460*100,0)</f>
        <v>-100</v>
      </c>
      <c r="J460">
        <v>8</v>
      </c>
      <c r="K460" t="s">
        <v>113</v>
      </c>
    </row>
    <row r="461" spans="3:11" ht="12.75">
      <c r="C461" t="s">
        <v>115</v>
      </c>
      <c r="D461" t="s">
        <v>116</v>
      </c>
      <c r="E461" s="8">
        <f>1*0</f>
        <v>0</v>
      </c>
      <c r="F461" s="8">
        <f>1*25000</f>
        <v>25000</v>
      </c>
      <c r="G461" s="12">
        <f>E461-F461</f>
        <v>-25000</v>
      </c>
      <c r="H461" s="13">
        <f>IF(F461&lt;&gt;0,G461/F461*100,0)</f>
        <v>-100</v>
      </c>
      <c r="J461">
        <v>8</v>
      </c>
      <c r="K461" t="s">
        <v>115</v>
      </c>
    </row>
    <row r="462" spans="3:11" ht="12.75">
      <c r="C462" t="s">
        <v>117</v>
      </c>
      <c r="D462" t="s">
        <v>118</v>
      </c>
      <c r="E462" s="8">
        <f>1*0</f>
        <v>0</v>
      </c>
      <c r="F462" s="8">
        <f>1*12000</f>
        <v>12000</v>
      </c>
      <c r="G462" s="12">
        <f>E462-F462</f>
        <v>-12000</v>
      </c>
      <c r="H462" s="13">
        <f>IF(F462&lt;&gt;0,G462/F462*100,0)</f>
        <v>-100</v>
      </c>
      <c r="J462">
        <v>8</v>
      </c>
      <c r="K462" t="s">
        <v>117</v>
      </c>
    </row>
    <row r="463" spans="3:11" ht="12.75">
      <c r="C463" t="s">
        <v>119</v>
      </c>
      <c r="D463" t="s">
        <v>120</v>
      </c>
      <c r="E463" s="8">
        <f>1*0</f>
        <v>0</v>
      </c>
      <c r="F463" s="8">
        <f>1*18000</f>
        <v>18000</v>
      </c>
      <c r="G463" s="12">
        <f>E463-F463</f>
        <v>-18000</v>
      </c>
      <c r="H463" s="13">
        <f>IF(F463&lt;&gt;0,G463/F463*100,0)</f>
        <v>-100</v>
      </c>
      <c r="J463">
        <v>8</v>
      </c>
      <c r="K463" t="s">
        <v>119</v>
      </c>
    </row>
    <row r="464" spans="3:11" ht="12.75">
      <c r="C464" t="s">
        <v>121</v>
      </c>
      <c r="D464" t="s">
        <v>122</v>
      </c>
      <c r="E464" s="8">
        <f>1*0</f>
        <v>0</v>
      </c>
      <c r="F464" s="8">
        <f>1*15000</f>
        <v>15000</v>
      </c>
      <c r="G464" s="12">
        <f>E464-F464</f>
        <v>-15000</v>
      </c>
      <c r="H464" s="13">
        <f>IF(F464&lt;&gt;0,G464/F464*100,0)</f>
        <v>-100</v>
      </c>
      <c r="J464">
        <v>8</v>
      </c>
      <c r="K464" t="s">
        <v>121</v>
      </c>
    </row>
    <row r="465" spans="3:11" ht="12.75">
      <c r="C465" t="s">
        <v>123</v>
      </c>
      <c r="D465" t="s">
        <v>122</v>
      </c>
      <c r="E465" s="8">
        <f>1*0</f>
        <v>0</v>
      </c>
      <c r="F465" s="8">
        <f>1*37000</f>
        <v>37000</v>
      </c>
      <c r="G465" s="12">
        <f>E465-F465</f>
        <v>-37000</v>
      </c>
      <c r="H465" s="13">
        <f>IF(F465&lt;&gt;0,G465/F465*100,0)</f>
        <v>-100</v>
      </c>
      <c r="J465">
        <v>8</v>
      </c>
      <c r="K465" t="s">
        <v>124</v>
      </c>
    </row>
    <row r="466" spans="3:11" ht="12.75">
      <c r="C466" t="s">
        <v>125</v>
      </c>
      <c r="D466" t="s">
        <v>122</v>
      </c>
      <c r="E466" s="8">
        <f>1*0</f>
        <v>0</v>
      </c>
      <c r="F466" s="8">
        <f>1*15000</f>
        <v>15000</v>
      </c>
      <c r="G466" s="12">
        <f>E466-F466</f>
        <v>-15000</v>
      </c>
      <c r="H466" s="13">
        <f>IF(F466&lt;&gt;0,G466/F466*100,0)</f>
        <v>-100</v>
      </c>
      <c r="J466">
        <v>8</v>
      </c>
      <c r="K466" t="s">
        <v>126</v>
      </c>
    </row>
    <row r="467" spans="3:11" ht="12.75">
      <c r="C467" t="s">
        <v>127</v>
      </c>
      <c r="D467" t="s">
        <v>128</v>
      </c>
      <c r="E467" s="8">
        <f>1*0</f>
        <v>0</v>
      </c>
      <c r="F467" s="8">
        <f>1*5000</f>
        <v>5000</v>
      </c>
      <c r="G467" s="12">
        <f>E467-F467</f>
        <v>-5000</v>
      </c>
      <c r="H467" s="13">
        <f>IF(F467&lt;&gt;0,G467/F467*100,0)</f>
        <v>-100</v>
      </c>
      <c r="J467">
        <v>8</v>
      </c>
      <c r="K467" t="s">
        <v>127</v>
      </c>
    </row>
    <row r="468" spans="3:11" ht="12.75">
      <c r="C468" t="s">
        <v>129</v>
      </c>
      <c r="D468" t="s">
        <v>128</v>
      </c>
      <c r="E468" s="8">
        <f>1*0</f>
        <v>0</v>
      </c>
      <c r="F468" s="8">
        <f>1*12000</f>
        <v>12000</v>
      </c>
      <c r="G468" s="12">
        <f>E468-F468</f>
        <v>-12000</v>
      </c>
      <c r="H468" s="13">
        <f>IF(F468&lt;&gt;0,G468/F468*100,0)</f>
        <v>-100</v>
      </c>
      <c r="J468">
        <v>8</v>
      </c>
      <c r="K468" t="s">
        <v>130</v>
      </c>
    </row>
    <row r="469" spans="3:11" ht="12.75">
      <c r="C469" t="s">
        <v>131</v>
      </c>
      <c r="D469" t="s">
        <v>128</v>
      </c>
      <c r="E469" s="8">
        <f>1*0</f>
        <v>0</v>
      </c>
      <c r="F469" s="8">
        <f>1*12000</f>
        <v>12000</v>
      </c>
      <c r="G469" s="12">
        <f>E469-F469</f>
        <v>-12000</v>
      </c>
      <c r="H469" s="13">
        <f>IF(F469&lt;&gt;0,G469/F469*100,0)</f>
        <v>-100</v>
      </c>
      <c r="J469">
        <v>8</v>
      </c>
      <c r="K469" t="s">
        <v>132</v>
      </c>
    </row>
    <row r="470" spans="3:11" ht="12.75">
      <c r="C470" t="s">
        <v>133</v>
      </c>
      <c r="D470" t="s">
        <v>135</v>
      </c>
      <c r="E470" s="8">
        <f>1*0</f>
        <v>0</v>
      </c>
      <c r="F470" s="8">
        <f>1*54000</f>
        <v>54000</v>
      </c>
      <c r="G470" s="12">
        <f>E470-F470</f>
        <v>-54000</v>
      </c>
      <c r="H470" s="13">
        <f>IF(F470&lt;&gt;0,G470/F470*100,0)</f>
        <v>-100</v>
      </c>
      <c r="J470">
        <v>8</v>
      </c>
      <c r="K470" t="s">
        <v>134</v>
      </c>
    </row>
    <row r="471" spans="3:11" ht="12.75">
      <c r="C471" t="s">
        <v>136</v>
      </c>
      <c r="D471" t="s">
        <v>135</v>
      </c>
      <c r="E471" s="8">
        <f>1*0</f>
        <v>0</v>
      </c>
      <c r="F471" s="8">
        <f>1*125000</f>
        <v>125000</v>
      </c>
      <c r="G471" s="12">
        <f>E471-F471</f>
        <v>-125000</v>
      </c>
      <c r="H471" s="13">
        <f>IF(F471&lt;&gt;0,G471/F471*100,0)</f>
        <v>-100</v>
      </c>
      <c r="J471">
        <v>8</v>
      </c>
      <c r="K471" t="s">
        <v>137</v>
      </c>
    </row>
    <row r="472" spans="3:11" ht="12.75">
      <c r="C472" t="s">
        <v>138</v>
      </c>
      <c r="D472" t="s">
        <v>140</v>
      </c>
      <c r="E472" s="8">
        <f>1*0</f>
        <v>0</v>
      </c>
      <c r="F472" s="8">
        <f>1*14000</f>
        <v>14000</v>
      </c>
      <c r="G472" s="12">
        <f>E472-F472</f>
        <v>-14000</v>
      </c>
      <c r="H472" s="13">
        <f>IF(F472&lt;&gt;0,G472/F472*100,0)</f>
        <v>-100</v>
      </c>
      <c r="J472">
        <v>8</v>
      </c>
      <c r="K472" t="s">
        <v>139</v>
      </c>
    </row>
    <row r="473" spans="3:11" ht="12.75">
      <c r="C473" t="s">
        <v>141</v>
      </c>
      <c r="D473" t="s">
        <v>140</v>
      </c>
      <c r="E473" s="8">
        <f>1*0</f>
        <v>0</v>
      </c>
      <c r="F473" s="8">
        <f>1*16000</f>
        <v>16000</v>
      </c>
      <c r="G473" s="12">
        <f>E473-F473</f>
        <v>-16000</v>
      </c>
      <c r="H473" s="13">
        <f>IF(F473&lt;&gt;0,G473/F473*100,0)</f>
        <v>-100</v>
      </c>
      <c r="J473">
        <v>8</v>
      </c>
      <c r="K473" t="s">
        <v>142</v>
      </c>
    </row>
    <row r="474" spans="3:11" ht="12.75">
      <c r="C474" t="s">
        <v>143</v>
      </c>
      <c r="D474" t="s">
        <v>144</v>
      </c>
      <c r="E474" s="8">
        <f>1*0</f>
        <v>0</v>
      </c>
      <c r="F474" s="8">
        <f>1*16000</f>
        <v>16000</v>
      </c>
      <c r="G474" s="12">
        <f>E474-F474</f>
        <v>-16000</v>
      </c>
      <c r="H474" s="13">
        <f>IF(F474&lt;&gt;0,G474/F474*100,0)</f>
        <v>-100</v>
      </c>
      <c r="J474">
        <v>8</v>
      </c>
      <c r="K474" t="s">
        <v>143</v>
      </c>
    </row>
    <row r="475" ht="12.75">
      <c r="J475">
        <v>8.1</v>
      </c>
    </row>
    <row r="476" spans="1:11" ht="12.75">
      <c r="A476" t="s">
        <v>20</v>
      </c>
      <c r="B476" s="10">
        <v>44104</v>
      </c>
      <c r="C476" t="s">
        <v>11</v>
      </c>
      <c r="D476" t="s">
        <v>12</v>
      </c>
      <c r="E476" s="8">
        <f>-1*0</f>
        <v>0</v>
      </c>
      <c r="F476" s="8">
        <f>-1*-500000</f>
        <v>500000</v>
      </c>
      <c r="G476" s="12">
        <f>E476-F476</f>
        <v>-500000</v>
      </c>
      <c r="H476" s="13">
        <f>IF(F476&lt;&gt;0,G476/F476*100,0)</f>
        <v>-100</v>
      </c>
      <c r="J476">
        <v>9</v>
      </c>
      <c r="K476" t="s">
        <v>11</v>
      </c>
    </row>
    <row r="477" spans="3:11" ht="12.75">
      <c r="C477" t="s">
        <v>24</v>
      </c>
      <c r="D477" t="s">
        <v>12</v>
      </c>
      <c r="E477" s="8">
        <f>-1*0</f>
        <v>0</v>
      </c>
      <c r="F477" s="8">
        <f>-1*-82000</f>
        <v>82000</v>
      </c>
      <c r="G477" s="12">
        <f>E477-F477</f>
        <v>-82000</v>
      </c>
      <c r="H477" s="13">
        <f>IF(F477&lt;&gt;0,G477/F477*100,0)</f>
        <v>-100</v>
      </c>
      <c r="J477">
        <v>9</v>
      </c>
      <c r="K477" t="s">
        <v>25</v>
      </c>
    </row>
    <row r="478" spans="3:11" ht="12.75">
      <c r="C478" t="s">
        <v>26</v>
      </c>
      <c r="D478" t="s">
        <v>12</v>
      </c>
      <c r="E478" s="8">
        <f>-1*0</f>
        <v>0</v>
      </c>
      <c r="F478" s="8">
        <f>-1*-186000</f>
        <v>186000</v>
      </c>
      <c r="G478" s="12">
        <f>E478-F478</f>
        <v>-186000</v>
      </c>
      <c r="H478" s="13">
        <f>IF(F478&lt;&gt;0,G478/F478*100,0)</f>
        <v>-100</v>
      </c>
      <c r="J478">
        <v>9</v>
      </c>
      <c r="K478" t="s">
        <v>27</v>
      </c>
    </row>
    <row r="479" spans="3:11" ht="12.75">
      <c r="C479" t="s">
        <v>28</v>
      </c>
      <c r="D479" t="s">
        <v>30</v>
      </c>
      <c r="E479" s="8">
        <f>-1*0</f>
        <v>0</v>
      </c>
      <c r="F479" s="8">
        <f>-1*-5000</f>
        <v>5000</v>
      </c>
      <c r="G479" s="12">
        <f>E479-F479</f>
        <v>-5000</v>
      </c>
      <c r="H479" s="13">
        <f>IF(F479&lt;&gt;0,G479/F479*100,0)</f>
        <v>-100</v>
      </c>
      <c r="J479">
        <v>9</v>
      </c>
      <c r="K479" t="s">
        <v>29</v>
      </c>
    </row>
    <row r="480" spans="3:11" ht="12.75">
      <c r="C480" t="s">
        <v>31</v>
      </c>
      <c r="D480" t="s">
        <v>30</v>
      </c>
      <c r="E480" s="8">
        <f>-1*0</f>
        <v>0</v>
      </c>
      <c r="F480" s="8">
        <f>-1*-7000</f>
        <v>7000</v>
      </c>
      <c r="G480" s="12">
        <f>E480-F480</f>
        <v>-7000</v>
      </c>
      <c r="H480" s="13">
        <f>IF(F480&lt;&gt;0,G480/F480*100,0)</f>
        <v>-100</v>
      </c>
      <c r="J480">
        <v>9</v>
      </c>
      <c r="K480" t="s">
        <v>32</v>
      </c>
    </row>
    <row r="481" spans="3:11" ht="12.75">
      <c r="C481" t="s">
        <v>33</v>
      </c>
      <c r="D481" t="s">
        <v>30</v>
      </c>
      <c r="E481" s="8">
        <f>-1*0</f>
        <v>0</v>
      </c>
      <c r="F481" s="8">
        <f>-1*-2000</f>
        <v>2000</v>
      </c>
      <c r="G481" s="12">
        <f>E481-F481</f>
        <v>-2000</v>
      </c>
      <c r="H481" s="13">
        <f>IF(F481&lt;&gt;0,G481/F481*100,0)</f>
        <v>-100</v>
      </c>
      <c r="J481">
        <v>9</v>
      </c>
      <c r="K481" t="s">
        <v>34</v>
      </c>
    </row>
    <row r="482" spans="3:11" ht="12.75">
      <c r="C482" t="s">
        <v>35</v>
      </c>
      <c r="D482" t="s">
        <v>30</v>
      </c>
      <c r="E482" s="8">
        <f>-1*0</f>
        <v>0</v>
      </c>
      <c r="F482" s="8">
        <f>-1*-2000</f>
        <v>2000</v>
      </c>
      <c r="G482" s="12">
        <f>E482-F482</f>
        <v>-2000</v>
      </c>
      <c r="H482" s="13">
        <f>IF(F482&lt;&gt;0,G482/F482*100,0)</f>
        <v>-100</v>
      </c>
      <c r="J482">
        <v>9</v>
      </c>
      <c r="K482" t="s">
        <v>36</v>
      </c>
    </row>
    <row r="483" spans="3:11" ht="12.75">
      <c r="C483" t="s">
        <v>37</v>
      </c>
      <c r="D483" t="s">
        <v>30</v>
      </c>
      <c r="E483" s="8">
        <f>-1*0</f>
        <v>0</v>
      </c>
      <c r="F483" s="8">
        <f>-1*-6000</f>
        <v>6000</v>
      </c>
      <c r="G483" s="12">
        <f>E483-F483</f>
        <v>-6000</v>
      </c>
      <c r="H483" s="13">
        <f>IF(F483&lt;&gt;0,G483/F483*100,0)</f>
        <v>-100</v>
      </c>
      <c r="J483">
        <v>9</v>
      </c>
      <c r="K483" t="s">
        <v>38</v>
      </c>
    </row>
    <row r="484" spans="3:11" ht="12.75">
      <c r="C484" t="s">
        <v>39</v>
      </c>
      <c r="D484" t="s">
        <v>30</v>
      </c>
      <c r="E484" s="8">
        <f>-1*0</f>
        <v>0</v>
      </c>
      <c r="F484" s="8">
        <f>-1*-6000</f>
        <v>6000</v>
      </c>
      <c r="G484" s="12">
        <f>E484-F484</f>
        <v>-6000</v>
      </c>
      <c r="H484" s="13">
        <f>IF(F484&lt;&gt;0,G484/F484*100,0)</f>
        <v>-100</v>
      </c>
      <c r="J484">
        <v>9</v>
      </c>
      <c r="K484" t="s">
        <v>40</v>
      </c>
    </row>
    <row r="485" spans="3:11" ht="12.75">
      <c r="C485" t="s">
        <v>41</v>
      </c>
      <c r="D485" t="s">
        <v>30</v>
      </c>
      <c r="E485" s="8">
        <f>-1*0</f>
        <v>0</v>
      </c>
      <c r="F485" s="8">
        <f>-1*-3000</f>
        <v>3000</v>
      </c>
      <c r="G485" s="12">
        <f>E485-F485</f>
        <v>-3000</v>
      </c>
      <c r="H485" s="13">
        <f>IF(F485&lt;&gt;0,G485/F485*100,0)</f>
        <v>-100</v>
      </c>
      <c r="J485">
        <v>9</v>
      </c>
      <c r="K485" t="s">
        <v>42</v>
      </c>
    </row>
    <row r="486" spans="3:11" ht="12.75">
      <c r="C486" t="s">
        <v>43</v>
      </c>
      <c r="D486" t="s">
        <v>30</v>
      </c>
      <c r="E486" s="8">
        <f>-1*0</f>
        <v>0</v>
      </c>
      <c r="F486" s="8">
        <f>-1*-3000</f>
        <v>3000</v>
      </c>
      <c r="G486" s="12">
        <f>E486-F486</f>
        <v>-3000</v>
      </c>
      <c r="H486" s="13">
        <f>IF(F486&lt;&gt;0,G486/F486*100,0)</f>
        <v>-100</v>
      </c>
      <c r="J486">
        <v>9</v>
      </c>
      <c r="K486" t="s">
        <v>44</v>
      </c>
    </row>
    <row r="487" spans="3:11" ht="12.75">
      <c r="C487" t="s">
        <v>45</v>
      </c>
      <c r="D487" t="s">
        <v>46</v>
      </c>
      <c r="E487" s="8">
        <f>-1*0</f>
        <v>0</v>
      </c>
      <c r="F487" s="8">
        <f>-1*-16000</f>
        <v>16000</v>
      </c>
      <c r="G487" s="12">
        <f>E487-F487</f>
        <v>-16000</v>
      </c>
      <c r="H487" s="13">
        <f>IF(F487&lt;&gt;0,G487/F487*100,0)</f>
        <v>-100</v>
      </c>
      <c r="J487">
        <v>9</v>
      </c>
      <c r="K487" t="s">
        <v>45</v>
      </c>
    </row>
    <row r="488" spans="3:11" ht="12.75">
      <c r="C488" t="s">
        <v>47</v>
      </c>
      <c r="D488" t="s">
        <v>48</v>
      </c>
      <c r="E488" s="8">
        <f>-1*0</f>
        <v>0</v>
      </c>
      <c r="F488" s="8">
        <f>-1*-47000</f>
        <v>47000</v>
      </c>
      <c r="G488" s="12">
        <f>E488-F488</f>
        <v>-47000</v>
      </c>
      <c r="H488" s="13">
        <f>IF(F488&lt;&gt;0,G488/F488*100,0)</f>
        <v>-100</v>
      </c>
      <c r="J488">
        <v>9</v>
      </c>
      <c r="K488" t="s">
        <v>47</v>
      </c>
    </row>
    <row r="489" spans="3:11" ht="12.75">
      <c r="C489" t="s">
        <v>49</v>
      </c>
      <c r="D489" t="s">
        <v>50</v>
      </c>
      <c r="E489" s="8">
        <f>-1*0</f>
        <v>0</v>
      </c>
      <c r="F489" s="8">
        <f>-1*-28000</f>
        <v>28000</v>
      </c>
      <c r="G489" s="12">
        <f>E489-F489</f>
        <v>-28000</v>
      </c>
      <c r="H489" s="13">
        <f>IF(F489&lt;&gt;0,G489/F489*100,0)</f>
        <v>-100</v>
      </c>
      <c r="J489">
        <v>9</v>
      </c>
      <c r="K489" t="s">
        <v>49</v>
      </c>
    </row>
    <row r="490" spans="3:11" ht="12.75">
      <c r="C490" t="s">
        <v>51</v>
      </c>
      <c r="D490" t="s">
        <v>52</v>
      </c>
      <c r="E490" s="8">
        <f>-1*0</f>
        <v>0</v>
      </c>
      <c r="F490" s="8">
        <f>-1*-60000</f>
        <v>60000</v>
      </c>
      <c r="G490" s="12">
        <f>E490-F490</f>
        <v>-60000</v>
      </c>
      <c r="H490" s="13">
        <f>IF(F490&lt;&gt;0,G490/F490*100,0)</f>
        <v>-100</v>
      </c>
      <c r="J490">
        <v>9</v>
      </c>
      <c r="K490" t="s">
        <v>51</v>
      </c>
    </row>
    <row r="491" spans="3:11" ht="12.75">
      <c r="C491" t="s">
        <v>53</v>
      </c>
      <c r="D491" t="s">
        <v>54</v>
      </c>
      <c r="E491" s="8">
        <f>-1*0</f>
        <v>0</v>
      </c>
      <c r="F491" s="8">
        <f>-1*-16000</f>
        <v>16000</v>
      </c>
      <c r="G491" s="12">
        <f>E491-F491</f>
        <v>-16000</v>
      </c>
      <c r="H491" s="13">
        <f>IF(F491&lt;&gt;0,G491/F491*100,0)</f>
        <v>-100</v>
      </c>
      <c r="J491">
        <v>9</v>
      </c>
      <c r="K491" t="s">
        <v>53</v>
      </c>
    </row>
    <row r="492" spans="3:11" ht="12.75">
      <c r="C492" t="s">
        <v>55</v>
      </c>
      <c r="D492" t="s">
        <v>56</v>
      </c>
      <c r="E492" s="8">
        <f>1*0</f>
        <v>0</v>
      </c>
      <c r="F492" s="8">
        <f>1*10000</f>
        <v>10000</v>
      </c>
      <c r="G492" s="12">
        <f>E492-F492</f>
        <v>-10000</v>
      </c>
      <c r="H492" s="13">
        <f>IF(F492&lt;&gt;0,G492/F492*100,0)</f>
        <v>-100</v>
      </c>
      <c r="J492">
        <v>9</v>
      </c>
      <c r="K492" t="s">
        <v>55</v>
      </c>
    </row>
    <row r="493" spans="3:11" ht="12.75">
      <c r="C493" t="s">
        <v>57</v>
      </c>
      <c r="D493" t="s">
        <v>58</v>
      </c>
      <c r="E493" s="8">
        <f>1*0</f>
        <v>0</v>
      </c>
      <c r="F493" s="8">
        <f>1*67000</f>
        <v>67000</v>
      </c>
      <c r="G493" s="12">
        <f>E493-F493</f>
        <v>-67000</v>
      </c>
      <c r="H493" s="13">
        <f>IF(F493&lt;&gt;0,G493/F493*100,0)</f>
        <v>-100</v>
      </c>
      <c r="J493">
        <v>9</v>
      </c>
      <c r="K493" t="s">
        <v>57</v>
      </c>
    </row>
    <row r="494" spans="3:11" ht="12.75">
      <c r="C494" t="s">
        <v>59</v>
      </c>
      <c r="D494" t="s">
        <v>60</v>
      </c>
      <c r="E494" s="8">
        <f>1*0</f>
        <v>0</v>
      </c>
      <c r="F494" s="8">
        <f>1*15000</f>
        <v>15000</v>
      </c>
      <c r="G494" s="12">
        <f>E494-F494</f>
        <v>-15000</v>
      </c>
      <c r="H494" s="13">
        <f>IF(F494&lt;&gt;0,G494/F494*100,0)</f>
        <v>-100</v>
      </c>
      <c r="J494">
        <v>9</v>
      </c>
      <c r="K494" t="s">
        <v>59</v>
      </c>
    </row>
    <row r="495" spans="3:11" ht="12.75">
      <c r="C495" t="s">
        <v>61</v>
      </c>
      <c r="D495" t="s">
        <v>60</v>
      </c>
      <c r="E495" s="8">
        <f>1*0</f>
        <v>0</v>
      </c>
      <c r="F495" s="8">
        <f>1*8000</f>
        <v>8000</v>
      </c>
      <c r="G495" s="12">
        <f>E495-F495</f>
        <v>-8000</v>
      </c>
      <c r="H495" s="13">
        <f>IF(F495&lt;&gt;0,G495/F495*100,0)</f>
        <v>-100</v>
      </c>
      <c r="J495">
        <v>9</v>
      </c>
      <c r="K495" t="s">
        <v>62</v>
      </c>
    </row>
    <row r="496" spans="3:11" ht="12.75">
      <c r="C496" t="s">
        <v>63</v>
      </c>
      <c r="D496" t="s">
        <v>60</v>
      </c>
      <c r="E496" s="8">
        <f>1*0</f>
        <v>0</v>
      </c>
      <c r="F496" s="8">
        <f>1*12000</f>
        <v>12000</v>
      </c>
      <c r="G496" s="12">
        <f>E496-F496</f>
        <v>-12000</v>
      </c>
      <c r="H496" s="13">
        <f>IF(F496&lt;&gt;0,G496/F496*100,0)</f>
        <v>-100</v>
      </c>
      <c r="J496">
        <v>9</v>
      </c>
      <c r="K496" t="s">
        <v>64</v>
      </c>
    </row>
    <row r="497" spans="3:11" ht="12.75">
      <c r="C497" t="s">
        <v>65</v>
      </c>
      <c r="D497" t="s">
        <v>66</v>
      </c>
      <c r="E497" s="8">
        <f>1*0</f>
        <v>0</v>
      </c>
      <c r="F497" s="8">
        <f>1*60000</f>
        <v>60000</v>
      </c>
      <c r="G497" s="12">
        <f>E497-F497</f>
        <v>-60000</v>
      </c>
      <c r="H497" s="13">
        <f>IF(F497&lt;&gt;0,G497/F497*100,0)</f>
        <v>-100</v>
      </c>
      <c r="J497">
        <v>9</v>
      </c>
      <c r="K497" t="s">
        <v>65</v>
      </c>
    </row>
    <row r="498" spans="3:11" ht="12.75">
      <c r="C498" t="s">
        <v>67</v>
      </c>
      <c r="D498" t="s">
        <v>66</v>
      </c>
      <c r="E498" s="8">
        <f>1*0</f>
        <v>0</v>
      </c>
      <c r="F498" s="8">
        <f>1*26000</f>
        <v>26000</v>
      </c>
      <c r="G498" s="12">
        <f>E498-F498</f>
        <v>-26000</v>
      </c>
      <c r="H498" s="13">
        <f>IF(F498&lt;&gt;0,G498/F498*100,0)</f>
        <v>-100</v>
      </c>
      <c r="J498">
        <v>9</v>
      </c>
      <c r="K498" t="s">
        <v>68</v>
      </c>
    </row>
    <row r="499" spans="3:11" ht="12.75">
      <c r="C499" t="s">
        <v>69</v>
      </c>
      <c r="D499" t="s">
        <v>66</v>
      </c>
      <c r="E499" s="8">
        <f>1*0</f>
        <v>0</v>
      </c>
      <c r="F499" s="8">
        <f>1*14000</f>
        <v>14000</v>
      </c>
      <c r="G499" s="12">
        <f>E499-F499</f>
        <v>-14000</v>
      </c>
      <c r="H499" s="13">
        <f>IF(F499&lt;&gt;0,G499/F499*100,0)</f>
        <v>-100</v>
      </c>
      <c r="J499">
        <v>9</v>
      </c>
      <c r="K499" t="s">
        <v>70</v>
      </c>
    </row>
    <row r="500" spans="3:11" ht="12.75">
      <c r="C500" t="s">
        <v>71</v>
      </c>
      <c r="D500" t="s">
        <v>72</v>
      </c>
      <c r="E500" s="8">
        <f>1*0</f>
        <v>0</v>
      </c>
      <c r="F500" s="8">
        <f>1*13000</f>
        <v>13000</v>
      </c>
      <c r="G500" s="12">
        <f>E500-F500</f>
        <v>-13000</v>
      </c>
      <c r="H500" s="13">
        <f>IF(F500&lt;&gt;0,G500/F500*100,0)</f>
        <v>-100</v>
      </c>
      <c r="J500">
        <v>9</v>
      </c>
      <c r="K500" t="s">
        <v>71</v>
      </c>
    </row>
    <row r="501" spans="3:11" ht="12.75">
      <c r="C501" t="s">
        <v>73</v>
      </c>
      <c r="D501" t="s">
        <v>74</v>
      </c>
      <c r="E501" s="8">
        <f>1*0</f>
        <v>0</v>
      </c>
      <c r="F501" s="8">
        <f>1*3000</f>
        <v>3000</v>
      </c>
      <c r="G501" s="12">
        <f>E501-F501</f>
        <v>-3000</v>
      </c>
      <c r="H501" s="13">
        <f>IF(F501&lt;&gt;0,G501/F501*100,0)</f>
        <v>-100</v>
      </c>
      <c r="J501">
        <v>9</v>
      </c>
      <c r="K501" t="s">
        <v>73</v>
      </c>
    </row>
    <row r="502" spans="3:11" ht="12.75">
      <c r="C502" t="s">
        <v>75</v>
      </c>
      <c r="D502" t="s">
        <v>77</v>
      </c>
      <c r="E502" s="8">
        <f>1*0</f>
        <v>0</v>
      </c>
      <c r="F502" s="8">
        <f>1*12000</f>
        <v>12000</v>
      </c>
      <c r="G502" s="12">
        <f>E502-F502</f>
        <v>-12000</v>
      </c>
      <c r="H502" s="13">
        <f>IF(F502&lt;&gt;0,G502/F502*100,0)</f>
        <v>-100</v>
      </c>
      <c r="J502">
        <v>9</v>
      </c>
      <c r="K502" t="s">
        <v>76</v>
      </c>
    </row>
    <row r="503" spans="3:11" ht="12.75">
      <c r="C503" t="s">
        <v>78</v>
      </c>
      <c r="D503" t="s">
        <v>77</v>
      </c>
      <c r="E503" s="8">
        <f>1*0</f>
        <v>0</v>
      </c>
      <c r="F503" s="8">
        <f>1*10000</f>
        <v>10000</v>
      </c>
      <c r="G503" s="12">
        <f>E503-F503</f>
        <v>-10000</v>
      </c>
      <c r="H503" s="13">
        <f>IF(F503&lt;&gt;0,G503/F503*100,0)</f>
        <v>-100</v>
      </c>
      <c r="J503">
        <v>9</v>
      </c>
      <c r="K503" t="s">
        <v>79</v>
      </c>
    </row>
    <row r="504" spans="3:11" ht="12.75">
      <c r="C504" t="s">
        <v>80</v>
      </c>
      <c r="D504" t="s">
        <v>81</v>
      </c>
      <c r="E504" s="8">
        <f>1*0</f>
        <v>0</v>
      </c>
      <c r="F504" s="8">
        <f>1*16000</f>
        <v>16000</v>
      </c>
      <c r="G504" s="12">
        <f>E504-F504</f>
        <v>-16000</v>
      </c>
      <c r="H504" s="13">
        <f>IF(F504&lt;&gt;0,G504/F504*100,0)</f>
        <v>-100</v>
      </c>
      <c r="J504">
        <v>9</v>
      </c>
      <c r="K504" t="s">
        <v>80</v>
      </c>
    </row>
    <row r="505" spans="3:11" ht="12.75">
      <c r="C505" t="s">
        <v>82</v>
      </c>
      <c r="D505" t="s">
        <v>84</v>
      </c>
      <c r="E505" s="8">
        <f>1*0</f>
        <v>0</v>
      </c>
      <c r="F505" s="8">
        <f>1*13000</f>
        <v>13000</v>
      </c>
      <c r="G505" s="12">
        <f>E505-F505</f>
        <v>-13000</v>
      </c>
      <c r="H505" s="13">
        <f>IF(F505&lt;&gt;0,G505/F505*100,0)</f>
        <v>-100</v>
      </c>
      <c r="J505">
        <v>9</v>
      </c>
      <c r="K505" t="s">
        <v>83</v>
      </c>
    </row>
    <row r="506" spans="3:11" ht="12.75">
      <c r="C506" t="s">
        <v>85</v>
      </c>
      <c r="D506" t="s">
        <v>84</v>
      </c>
      <c r="E506" s="8">
        <f>1*0</f>
        <v>0</v>
      </c>
      <c r="F506" s="8">
        <f>1*13000</f>
        <v>13000</v>
      </c>
      <c r="G506" s="12">
        <f>E506-F506</f>
        <v>-13000</v>
      </c>
      <c r="H506" s="13">
        <f>IF(F506&lt;&gt;0,G506/F506*100,0)</f>
        <v>-100</v>
      </c>
      <c r="J506">
        <v>9</v>
      </c>
      <c r="K506" t="s">
        <v>86</v>
      </c>
    </row>
    <row r="507" spans="3:11" ht="12.75">
      <c r="C507" t="s">
        <v>87</v>
      </c>
      <c r="D507" t="s">
        <v>88</v>
      </c>
      <c r="E507" s="8">
        <f>1*0</f>
        <v>0</v>
      </c>
      <c r="F507" s="8">
        <f>1*10000</f>
        <v>10000</v>
      </c>
      <c r="G507" s="12">
        <f>E507-F507</f>
        <v>-10000</v>
      </c>
      <c r="H507" s="13">
        <f>IF(F507&lt;&gt;0,G507/F507*100,0)</f>
        <v>-100</v>
      </c>
      <c r="J507">
        <v>9</v>
      </c>
      <c r="K507" t="s">
        <v>87</v>
      </c>
    </row>
    <row r="508" spans="3:11" ht="12.75">
      <c r="C508" t="s">
        <v>89</v>
      </c>
      <c r="D508" t="s">
        <v>90</v>
      </c>
      <c r="E508" s="8">
        <f>1*0</f>
        <v>0</v>
      </c>
      <c r="F508" s="8">
        <f>1*29000</f>
        <v>29000</v>
      </c>
      <c r="G508" s="12">
        <f>E508-F508</f>
        <v>-29000</v>
      </c>
      <c r="H508" s="13">
        <f>IF(F508&lt;&gt;0,G508/F508*100,0)</f>
        <v>-100</v>
      </c>
      <c r="J508">
        <v>9</v>
      </c>
      <c r="K508" t="s">
        <v>89</v>
      </c>
    </row>
    <row r="509" spans="3:11" ht="12.75">
      <c r="C509" t="s">
        <v>91</v>
      </c>
      <c r="D509" t="s">
        <v>92</v>
      </c>
      <c r="E509" s="8">
        <f>1*0</f>
        <v>0</v>
      </c>
      <c r="F509" s="8">
        <f>1*3000</f>
        <v>3000</v>
      </c>
      <c r="G509" s="12">
        <f>E509-F509</f>
        <v>-3000</v>
      </c>
      <c r="H509" s="13">
        <f>IF(F509&lt;&gt;0,G509/F509*100,0)</f>
        <v>-100</v>
      </c>
      <c r="J509">
        <v>9</v>
      </c>
      <c r="K509" t="s">
        <v>91</v>
      </c>
    </row>
    <row r="510" spans="3:11" ht="12.75">
      <c r="C510" t="s">
        <v>93</v>
      </c>
      <c r="D510" t="s">
        <v>95</v>
      </c>
      <c r="E510" s="8">
        <f>1*0</f>
        <v>0</v>
      </c>
      <c r="F510" s="8">
        <f>1*12000</f>
        <v>12000</v>
      </c>
      <c r="G510" s="12">
        <f>E510-F510</f>
        <v>-12000</v>
      </c>
      <c r="H510" s="13">
        <f>IF(F510&lt;&gt;0,G510/F510*100,0)</f>
        <v>-100</v>
      </c>
      <c r="J510">
        <v>9</v>
      </c>
      <c r="K510" t="s">
        <v>94</v>
      </c>
    </row>
    <row r="511" spans="3:11" ht="12.75">
      <c r="C511" t="s">
        <v>96</v>
      </c>
      <c r="D511" t="s">
        <v>95</v>
      </c>
      <c r="E511" s="8">
        <f>1*0</f>
        <v>0</v>
      </c>
      <c r="F511" s="8">
        <f>1*17000</f>
        <v>17000</v>
      </c>
      <c r="G511" s="12">
        <f>E511-F511</f>
        <v>-17000</v>
      </c>
      <c r="H511" s="13">
        <f>IF(F511&lt;&gt;0,G511/F511*100,0)</f>
        <v>-100</v>
      </c>
      <c r="J511">
        <v>9</v>
      </c>
      <c r="K511" t="s">
        <v>97</v>
      </c>
    </row>
    <row r="512" spans="3:11" ht="12.75">
      <c r="C512" t="s">
        <v>98</v>
      </c>
      <c r="D512" t="s">
        <v>99</v>
      </c>
      <c r="E512" s="8">
        <f>1*0</f>
        <v>0</v>
      </c>
      <c r="F512" s="8">
        <f>1*7000</f>
        <v>7000</v>
      </c>
      <c r="G512" s="12">
        <f>E512-F512</f>
        <v>-7000</v>
      </c>
      <c r="H512" s="13">
        <f>IF(F512&lt;&gt;0,G512/F512*100,0)</f>
        <v>-100</v>
      </c>
      <c r="J512">
        <v>9</v>
      </c>
      <c r="K512" t="s">
        <v>98</v>
      </c>
    </row>
    <row r="513" spans="3:11" ht="12.75">
      <c r="C513" t="s">
        <v>100</v>
      </c>
      <c r="D513" t="s">
        <v>102</v>
      </c>
      <c r="E513" s="8">
        <f>1*0</f>
        <v>0</v>
      </c>
      <c r="F513" s="8">
        <f>1*18000</f>
        <v>18000</v>
      </c>
      <c r="G513" s="12">
        <f>E513-F513</f>
        <v>-18000</v>
      </c>
      <c r="H513" s="13">
        <f>IF(F513&lt;&gt;0,G513/F513*100,0)</f>
        <v>-100</v>
      </c>
      <c r="J513">
        <v>9</v>
      </c>
      <c r="K513" t="s">
        <v>101</v>
      </c>
    </row>
    <row r="514" spans="3:11" ht="12.75">
      <c r="C514" t="s">
        <v>103</v>
      </c>
      <c r="D514" t="s">
        <v>102</v>
      </c>
      <c r="E514" s="8">
        <f>1*0</f>
        <v>0</v>
      </c>
      <c r="F514" s="8">
        <f>1*17000</f>
        <v>17000</v>
      </c>
      <c r="G514" s="12">
        <f>E514-F514</f>
        <v>-17000</v>
      </c>
      <c r="H514" s="13">
        <f>IF(F514&lt;&gt;0,G514/F514*100,0)</f>
        <v>-100</v>
      </c>
      <c r="J514">
        <v>9</v>
      </c>
      <c r="K514" t="s">
        <v>104</v>
      </c>
    </row>
    <row r="515" spans="3:11" ht="12.75">
      <c r="C515" t="s">
        <v>105</v>
      </c>
      <c r="D515" t="s">
        <v>106</v>
      </c>
      <c r="E515" s="8">
        <f>1*0</f>
        <v>0</v>
      </c>
      <c r="F515" s="8">
        <f>1*8000</f>
        <v>8000</v>
      </c>
      <c r="G515" s="12">
        <f>E515-F515</f>
        <v>-8000</v>
      </c>
      <c r="H515" s="13">
        <f>IF(F515&lt;&gt;0,G515/F515*100,0)</f>
        <v>-100</v>
      </c>
      <c r="J515">
        <v>9</v>
      </c>
      <c r="K515" t="s">
        <v>105</v>
      </c>
    </row>
    <row r="516" spans="3:11" ht="12.75">
      <c r="C516" t="s">
        <v>107</v>
      </c>
      <c r="D516" t="s">
        <v>108</v>
      </c>
      <c r="E516" s="8">
        <f>1*0</f>
        <v>0</v>
      </c>
      <c r="F516" s="8">
        <f>1*33000</f>
        <v>33000</v>
      </c>
      <c r="G516" s="12">
        <f>E516-F516</f>
        <v>-33000</v>
      </c>
      <c r="H516" s="13">
        <f>IF(F516&lt;&gt;0,G516/F516*100,0)</f>
        <v>-100</v>
      </c>
      <c r="J516">
        <v>9</v>
      </c>
      <c r="K516" t="s">
        <v>107</v>
      </c>
    </row>
    <row r="517" spans="3:11" ht="12.75">
      <c r="C517" t="s">
        <v>109</v>
      </c>
      <c r="D517" t="s">
        <v>110</v>
      </c>
      <c r="E517" s="8">
        <f>1*0</f>
        <v>0</v>
      </c>
      <c r="F517" s="8">
        <f>1*44000</f>
        <v>44000</v>
      </c>
      <c r="G517" s="12">
        <f>E517-F517</f>
        <v>-44000</v>
      </c>
      <c r="H517" s="13">
        <f>IF(F517&lt;&gt;0,G517/F517*100,0)</f>
        <v>-100</v>
      </c>
      <c r="J517">
        <v>9</v>
      </c>
      <c r="K517" t="s">
        <v>109</v>
      </c>
    </row>
    <row r="518" spans="3:11" ht="12.75">
      <c r="C518" t="s">
        <v>111</v>
      </c>
      <c r="D518" t="s">
        <v>112</v>
      </c>
      <c r="E518" s="8">
        <f>1*0</f>
        <v>0</v>
      </c>
      <c r="F518" s="8">
        <f>1*10000</f>
        <v>10000</v>
      </c>
      <c r="G518" s="12">
        <f>E518-F518</f>
        <v>-10000</v>
      </c>
      <c r="H518" s="13">
        <f>IF(F518&lt;&gt;0,G518/F518*100,0)</f>
        <v>-100</v>
      </c>
      <c r="J518">
        <v>9</v>
      </c>
      <c r="K518" t="s">
        <v>111</v>
      </c>
    </row>
    <row r="519" spans="3:11" ht="12.75">
      <c r="C519" t="s">
        <v>113</v>
      </c>
      <c r="D519" t="s">
        <v>114</v>
      </c>
      <c r="E519" s="8">
        <f>1*0</f>
        <v>0</v>
      </c>
      <c r="F519" s="8">
        <f>1*38000</f>
        <v>38000</v>
      </c>
      <c r="G519" s="12">
        <f>E519-F519</f>
        <v>-38000</v>
      </c>
      <c r="H519" s="13">
        <f>IF(F519&lt;&gt;0,G519/F519*100,0)</f>
        <v>-100</v>
      </c>
      <c r="J519">
        <v>9</v>
      </c>
      <c r="K519" t="s">
        <v>113</v>
      </c>
    </row>
    <row r="520" spans="3:11" ht="12.75">
      <c r="C520" t="s">
        <v>115</v>
      </c>
      <c r="D520" t="s">
        <v>116</v>
      </c>
      <c r="E520" s="8">
        <f>1*0</f>
        <v>0</v>
      </c>
      <c r="F520" s="8">
        <f>1*25000</f>
        <v>25000</v>
      </c>
      <c r="G520" s="12">
        <f>E520-F520</f>
        <v>-25000</v>
      </c>
      <c r="H520" s="13">
        <f>IF(F520&lt;&gt;0,G520/F520*100,0)</f>
        <v>-100</v>
      </c>
      <c r="J520">
        <v>9</v>
      </c>
      <c r="K520" t="s">
        <v>115</v>
      </c>
    </row>
    <row r="521" spans="3:11" ht="12.75">
      <c r="C521" t="s">
        <v>117</v>
      </c>
      <c r="D521" t="s">
        <v>118</v>
      </c>
      <c r="E521" s="8">
        <f>1*0</f>
        <v>0</v>
      </c>
      <c r="F521" s="8">
        <f>1*12000</f>
        <v>12000</v>
      </c>
      <c r="G521" s="12">
        <f>E521-F521</f>
        <v>-12000</v>
      </c>
      <c r="H521" s="13">
        <f>IF(F521&lt;&gt;0,G521/F521*100,0)</f>
        <v>-100</v>
      </c>
      <c r="J521">
        <v>9</v>
      </c>
      <c r="K521" t="s">
        <v>117</v>
      </c>
    </row>
    <row r="522" spans="3:11" ht="12.75">
      <c r="C522" t="s">
        <v>119</v>
      </c>
      <c r="D522" t="s">
        <v>120</v>
      </c>
      <c r="E522" s="8">
        <f>1*0</f>
        <v>0</v>
      </c>
      <c r="F522" s="8">
        <f>1*18000</f>
        <v>18000</v>
      </c>
      <c r="G522" s="12">
        <f>E522-F522</f>
        <v>-18000</v>
      </c>
      <c r="H522" s="13">
        <f>IF(F522&lt;&gt;0,G522/F522*100,0)</f>
        <v>-100</v>
      </c>
      <c r="J522">
        <v>9</v>
      </c>
      <c r="K522" t="s">
        <v>119</v>
      </c>
    </row>
    <row r="523" spans="3:11" ht="12.75">
      <c r="C523" t="s">
        <v>121</v>
      </c>
      <c r="D523" t="s">
        <v>122</v>
      </c>
      <c r="E523" s="8">
        <f>1*0</f>
        <v>0</v>
      </c>
      <c r="F523" s="8">
        <f>1*15000</f>
        <v>15000</v>
      </c>
      <c r="G523" s="12">
        <f>E523-F523</f>
        <v>-15000</v>
      </c>
      <c r="H523" s="13">
        <f>IF(F523&lt;&gt;0,G523/F523*100,0)</f>
        <v>-100</v>
      </c>
      <c r="J523">
        <v>9</v>
      </c>
      <c r="K523" t="s">
        <v>121</v>
      </c>
    </row>
    <row r="524" spans="3:11" ht="12.75">
      <c r="C524" t="s">
        <v>123</v>
      </c>
      <c r="D524" t="s">
        <v>122</v>
      </c>
      <c r="E524" s="8">
        <f>1*0</f>
        <v>0</v>
      </c>
      <c r="F524" s="8">
        <f>1*37000</f>
        <v>37000</v>
      </c>
      <c r="G524" s="12">
        <f>E524-F524</f>
        <v>-37000</v>
      </c>
      <c r="H524" s="13">
        <f>IF(F524&lt;&gt;0,G524/F524*100,0)</f>
        <v>-100</v>
      </c>
      <c r="J524">
        <v>9</v>
      </c>
      <c r="K524" t="s">
        <v>124</v>
      </c>
    </row>
    <row r="525" spans="3:11" ht="12.75">
      <c r="C525" t="s">
        <v>125</v>
      </c>
      <c r="D525" t="s">
        <v>122</v>
      </c>
      <c r="E525" s="8">
        <f>1*0</f>
        <v>0</v>
      </c>
      <c r="F525" s="8">
        <f>1*15000</f>
        <v>15000</v>
      </c>
      <c r="G525" s="12">
        <f>E525-F525</f>
        <v>-15000</v>
      </c>
      <c r="H525" s="13">
        <f>IF(F525&lt;&gt;0,G525/F525*100,0)</f>
        <v>-100</v>
      </c>
      <c r="J525">
        <v>9</v>
      </c>
      <c r="K525" t="s">
        <v>126</v>
      </c>
    </row>
    <row r="526" spans="3:11" ht="12.75">
      <c r="C526" t="s">
        <v>127</v>
      </c>
      <c r="D526" t="s">
        <v>128</v>
      </c>
      <c r="E526" s="8">
        <f>1*0</f>
        <v>0</v>
      </c>
      <c r="F526" s="8">
        <f>1*5000</f>
        <v>5000</v>
      </c>
      <c r="G526" s="12">
        <f>E526-F526</f>
        <v>-5000</v>
      </c>
      <c r="H526" s="13">
        <f>IF(F526&lt;&gt;0,G526/F526*100,0)</f>
        <v>-100</v>
      </c>
      <c r="J526">
        <v>9</v>
      </c>
      <c r="K526" t="s">
        <v>127</v>
      </c>
    </row>
    <row r="527" spans="3:11" ht="12.75">
      <c r="C527" t="s">
        <v>129</v>
      </c>
      <c r="D527" t="s">
        <v>128</v>
      </c>
      <c r="E527" s="8">
        <f>1*0</f>
        <v>0</v>
      </c>
      <c r="F527" s="8">
        <f>1*12000</f>
        <v>12000</v>
      </c>
      <c r="G527" s="12">
        <f>E527-F527</f>
        <v>-12000</v>
      </c>
      <c r="H527" s="13">
        <f>IF(F527&lt;&gt;0,G527/F527*100,0)</f>
        <v>-100</v>
      </c>
      <c r="J527">
        <v>9</v>
      </c>
      <c r="K527" t="s">
        <v>130</v>
      </c>
    </row>
    <row r="528" spans="3:11" ht="12.75">
      <c r="C528" t="s">
        <v>131</v>
      </c>
      <c r="D528" t="s">
        <v>128</v>
      </c>
      <c r="E528" s="8">
        <f>1*0</f>
        <v>0</v>
      </c>
      <c r="F528" s="8">
        <f>1*12000</f>
        <v>12000</v>
      </c>
      <c r="G528" s="12">
        <f>E528-F528</f>
        <v>-12000</v>
      </c>
      <c r="H528" s="13">
        <f>IF(F528&lt;&gt;0,G528/F528*100,0)</f>
        <v>-100</v>
      </c>
      <c r="J528">
        <v>9</v>
      </c>
      <c r="K528" t="s">
        <v>132</v>
      </c>
    </row>
    <row r="529" spans="3:11" ht="12.75">
      <c r="C529" t="s">
        <v>133</v>
      </c>
      <c r="D529" t="s">
        <v>135</v>
      </c>
      <c r="E529" s="8">
        <f>1*0</f>
        <v>0</v>
      </c>
      <c r="F529" s="8">
        <f>1*54000</f>
        <v>54000</v>
      </c>
      <c r="G529" s="12">
        <f>E529-F529</f>
        <v>-54000</v>
      </c>
      <c r="H529" s="13">
        <f>IF(F529&lt;&gt;0,G529/F529*100,0)</f>
        <v>-100</v>
      </c>
      <c r="J529">
        <v>9</v>
      </c>
      <c r="K529" t="s">
        <v>134</v>
      </c>
    </row>
    <row r="530" spans="3:11" ht="12.75">
      <c r="C530" t="s">
        <v>136</v>
      </c>
      <c r="D530" t="s">
        <v>135</v>
      </c>
      <c r="E530" s="8">
        <f>1*0</f>
        <v>0</v>
      </c>
      <c r="F530" s="8">
        <f>1*125000</f>
        <v>125000</v>
      </c>
      <c r="G530" s="12">
        <f>E530-F530</f>
        <v>-125000</v>
      </c>
      <c r="H530" s="13">
        <f>IF(F530&lt;&gt;0,G530/F530*100,0)</f>
        <v>-100</v>
      </c>
      <c r="J530">
        <v>9</v>
      </c>
      <c r="K530" t="s">
        <v>137</v>
      </c>
    </row>
    <row r="531" spans="3:11" ht="12.75">
      <c r="C531" t="s">
        <v>138</v>
      </c>
      <c r="D531" t="s">
        <v>140</v>
      </c>
      <c r="E531" s="8">
        <f>1*0</f>
        <v>0</v>
      </c>
      <c r="F531" s="8">
        <f>1*14000</f>
        <v>14000</v>
      </c>
      <c r="G531" s="12">
        <f>E531-F531</f>
        <v>-14000</v>
      </c>
      <c r="H531" s="13">
        <f>IF(F531&lt;&gt;0,G531/F531*100,0)</f>
        <v>-100</v>
      </c>
      <c r="J531">
        <v>9</v>
      </c>
      <c r="K531" t="s">
        <v>139</v>
      </c>
    </row>
    <row r="532" spans="3:11" ht="12.75">
      <c r="C532" t="s">
        <v>141</v>
      </c>
      <c r="D532" t="s">
        <v>140</v>
      </c>
      <c r="E532" s="8">
        <f>1*0</f>
        <v>0</v>
      </c>
      <c r="F532" s="8">
        <f>1*16000</f>
        <v>16000</v>
      </c>
      <c r="G532" s="12">
        <f>E532-F532</f>
        <v>-16000</v>
      </c>
      <c r="H532" s="13">
        <f>IF(F532&lt;&gt;0,G532/F532*100,0)</f>
        <v>-100</v>
      </c>
      <c r="J532">
        <v>9</v>
      </c>
      <c r="K532" t="s">
        <v>142</v>
      </c>
    </row>
    <row r="533" spans="3:11" ht="12.75">
      <c r="C533" t="s">
        <v>143</v>
      </c>
      <c r="D533" t="s">
        <v>144</v>
      </c>
      <c r="E533" s="8">
        <f>1*0</f>
        <v>0</v>
      </c>
      <c r="F533" s="8">
        <f>1*16000</f>
        <v>16000</v>
      </c>
      <c r="G533" s="12">
        <f>E533-F533</f>
        <v>-16000</v>
      </c>
      <c r="H533" s="13">
        <f>IF(F533&lt;&gt;0,G533/F533*100,0)</f>
        <v>-100</v>
      </c>
      <c r="J533">
        <v>9</v>
      </c>
      <c r="K533" t="s">
        <v>143</v>
      </c>
    </row>
    <row r="534" ht="12.75">
      <c r="J534">
        <v>9.1</v>
      </c>
    </row>
    <row r="535" spans="1:11" ht="12.75">
      <c r="A535" t="s">
        <v>21</v>
      </c>
      <c r="B535" s="10">
        <v>44135</v>
      </c>
      <c r="C535" t="s">
        <v>11</v>
      </c>
      <c r="D535" t="s">
        <v>12</v>
      </c>
      <c r="E535" s="8">
        <f>-1*0</f>
        <v>0</v>
      </c>
      <c r="F535" s="8">
        <f>-1*-500000</f>
        <v>500000</v>
      </c>
      <c r="G535" s="12">
        <f>E535-F535</f>
        <v>-500000</v>
      </c>
      <c r="H535" s="13">
        <f>IF(F535&lt;&gt;0,G535/F535*100,0)</f>
        <v>-100</v>
      </c>
      <c r="J535">
        <v>10</v>
      </c>
      <c r="K535" t="s">
        <v>11</v>
      </c>
    </row>
    <row r="536" spans="3:11" ht="12.75">
      <c r="C536" t="s">
        <v>24</v>
      </c>
      <c r="D536" t="s">
        <v>12</v>
      </c>
      <c r="E536" s="8">
        <f>-1*0</f>
        <v>0</v>
      </c>
      <c r="F536" s="8">
        <f>-1*-82000</f>
        <v>82000</v>
      </c>
      <c r="G536" s="12">
        <f>E536-F536</f>
        <v>-82000</v>
      </c>
      <c r="H536" s="13">
        <f>IF(F536&lt;&gt;0,G536/F536*100,0)</f>
        <v>-100</v>
      </c>
      <c r="J536">
        <v>10</v>
      </c>
      <c r="K536" t="s">
        <v>25</v>
      </c>
    </row>
    <row r="537" spans="3:11" ht="12.75">
      <c r="C537" t="s">
        <v>26</v>
      </c>
      <c r="D537" t="s">
        <v>12</v>
      </c>
      <c r="E537" s="8">
        <f>-1*0</f>
        <v>0</v>
      </c>
      <c r="F537" s="8">
        <f>-1*-186000</f>
        <v>186000</v>
      </c>
      <c r="G537" s="12">
        <f>E537-F537</f>
        <v>-186000</v>
      </c>
      <c r="H537" s="13">
        <f>IF(F537&lt;&gt;0,G537/F537*100,0)</f>
        <v>-100</v>
      </c>
      <c r="J537">
        <v>10</v>
      </c>
      <c r="K537" t="s">
        <v>27</v>
      </c>
    </row>
    <row r="538" spans="3:11" ht="12.75">
      <c r="C538" t="s">
        <v>28</v>
      </c>
      <c r="D538" t="s">
        <v>30</v>
      </c>
      <c r="E538" s="8">
        <f>-1*0</f>
        <v>0</v>
      </c>
      <c r="F538" s="8">
        <f>-1*-5000</f>
        <v>5000</v>
      </c>
      <c r="G538" s="12">
        <f>E538-F538</f>
        <v>-5000</v>
      </c>
      <c r="H538" s="13">
        <f>IF(F538&lt;&gt;0,G538/F538*100,0)</f>
        <v>-100</v>
      </c>
      <c r="J538">
        <v>10</v>
      </c>
      <c r="K538" t="s">
        <v>29</v>
      </c>
    </row>
    <row r="539" spans="3:11" ht="12.75">
      <c r="C539" t="s">
        <v>31</v>
      </c>
      <c r="D539" t="s">
        <v>30</v>
      </c>
      <c r="E539" s="8">
        <f>-1*0</f>
        <v>0</v>
      </c>
      <c r="F539" s="8">
        <f>-1*-7000</f>
        <v>7000</v>
      </c>
      <c r="G539" s="12">
        <f>E539-F539</f>
        <v>-7000</v>
      </c>
      <c r="H539" s="13">
        <f>IF(F539&lt;&gt;0,G539/F539*100,0)</f>
        <v>-100</v>
      </c>
      <c r="J539">
        <v>10</v>
      </c>
      <c r="K539" t="s">
        <v>32</v>
      </c>
    </row>
    <row r="540" spans="3:11" ht="12.75">
      <c r="C540" t="s">
        <v>33</v>
      </c>
      <c r="D540" t="s">
        <v>30</v>
      </c>
      <c r="E540" s="8">
        <f>-1*0</f>
        <v>0</v>
      </c>
      <c r="F540" s="8">
        <f>-1*-2000</f>
        <v>2000</v>
      </c>
      <c r="G540" s="12">
        <f>E540-F540</f>
        <v>-2000</v>
      </c>
      <c r="H540" s="13">
        <f>IF(F540&lt;&gt;0,G540/F540*100,0)</f>
        <v>-100</v>
      </c>
      <c r="J540">
        <v>10</v>
      </c>
      <c r="K540" t="s">
        <v>34</v>
      </c>
    </row>
    <row r="541" spans="3:11" ht="12.75">
      <c r="C541" t="s">
        <v>35</v>
      </c>
      <c r="D541" t="s">
        <v>30</v>
      </c>
      <c r="E541" s="8">
        <f>-1*0</f>
        <v>0</v>
      </c>
      <c r="F541" s="8">
        <f>-1*-2000</f>
        <v>2000</v>
      </c>
      <c r="G541" s="12">
        <f>E541-F541</f>
        <v>-2000</v>
      </c>
      <c r="H541" s="13">
        <f>IF(F541&lt;&gt;0,G541/F541*100,0)</f>
        <v>-100</v>
      </c>
      <c r="J541">
        <v>10</v>
      </c>
      <c r="K541" t="s">
        <v>36</v>
      </c>
    </row>
    <row r="542" spans="3:11" ht="12.75">
      <c r="C542" t="s">
        <v>37</v>
      </c>
      <c r="D542" t="s">
        <v>30</v>
      </c>
      <c r="E542" s="8">
        <f>-1*0</f>
        <v>0</v>
      </c>
      <c r="F542" s="8">
        <f>-1*-6000</f>
        <v>6000</v>
      </c>
      <c r="G542" s="12">
        <f>E542-F542</f>
        <v>-6000</v>
      </c>
      <c r="H542" s="13">
        <f>IF(F542&lt;&gt;0,G542/F542*100,0)</f>
        <v>-100</v>
      </c>
      <c r="J542">
        <v>10</v>
      </c>
      <c r="K542" t="s">
        <v>38</v>
      </c>
    </row>
    <row r="543" spans="3:11" ht="12.75">
      <c r="C543" t="s">
        <v>39</v>
      </c>
      <c r="D543" t="s">
        <v>30</v>
      </c>
      <c r="E543" s="8">
        <f>-1*0</f>
        <v>0</v>
      </c>
      <c r="F543" s="8">
        <f>-1*-6000</f>
        <v>6000</v>
      </c>
      <c r="G543" s="12">
        <f>E543-F543</f>
        <v>-6000</v>
      </c>
      <c r="H543" s="13">
        <f>IF(F543&lt;&gt;0,G543/F543*100,0)</f>
        <v>-100</v>
      </c>
      <c r="J543">
        <v>10</v>
      </c>
      <c r="K543" t="s">
        <v>40</v>
      </c>
    </row>
    <row r="544" spans="3:11" ht="12.75">
      <c r="C544" t="s">
        <v>41</v>
      </c>
      <c r="D544" t="s">
        <v>30</v>
      </c>
      <c r="E544" s="8">
        <f>-1*0</f>
        <v>0</v>
      </c>
      <c r="F544" s="8">
        <f>-1*-3000</f>
        <v>3000</v>
      </c>
      <c r="G544" s="12">
        <f>E544-F544</f>
        <v>-3000</v>
      </c>
      <c r="H544" s="13">
        <f>IF(F544&lt;&gt;0,G544/F544*100,0)</f>
        <v>-100</v>
      </c>
      <c r="J544">
        <v>10</v>
      </c>
      <c r="K544" t="s">
        <v>42</v>
      </c>
    </row>
    <row r="545" spans="3:11" ht="12.75">
      <c r="C545" t="s">
        <v>43</v>
      </c>
      <c r="D545" t="s">
        <v>30</v>
      </c>
      <c r="E545" s="8">
        <f>-1*0</f>
        <v>0</v>
      </c>
      <c r="F545" s="8">
        <f>-1*-3000</f>
        <v>3000</v>
      </c>
      <c r="G545" s="12">
        <f>E545-F545</f>
        <v>-3000</v>
      </c>
      <c r="H545" s="13">
        <f>IF(F545&lt;&gt;0,G545/F545*100,0)</f>
        <v>-100</v>
      </c>
      <c r="J545">
        <v>10</v>
      </c>
      <c r="K545" t="s">
        <v>44</v>
      </c>
    </row>
    <row r="546" spans="3:11" ht="12.75">
      <c r="C546" t="s">
        <v>45</v>
      </c>
      <c r="D546" t="s">
        <v>46</v>
      </c>
      <c r="E546" s="8">
        <f>-1*0</f>
        <v>0</v>
      </c>
      <c r="F546" s="8">
        <f>-1*-16000</f>
        <v>16000</v>
      </c>
      <c r="G546" s="12">
        <f>E546-F546</f>
        <v>-16000</v>
      </c>
      <c r="H546" s="13">
        <f>IF(F546&lt;&gt;0,G546/F546*100,0)</f>
        <v>-100</v>
      </c>
      <c r="J546">
        <v>10</v>
      </c>
      <c r="K546" t="s">
        <v>45</v>
      </c>
    </row>
    <row r="547" spans="3:11" ht="12.75">
      <c r="C547" t="s">
        <v>47</v>
      </c>
      <c r="D547" t="s">
        <v>48</v>
      </c>
      <c r="E547" s="8">
        <f>-1*0</f>
        <v>0</v>
      </c>
      <c r="F547" s="8">
        <f>-1*-47000</f>
        <v>47000</v>
      </c>
      <c r="G547" s="12">
        <f>E547-F547</f>
        <v>-47000</v>
      </c>
      <c r="H547" s="13">
        <f>IF(F547&lt;&gt;0,G547/F547*100,0)</f>
        <v>-100</v>
      </c>
      <c r="J547">
        <v>10</v>
      </c>
      <c r="K547" t="s">
        <v>47</v>
      </c>
    </row>
    <row r="548" spans="3:11" ht="12.75">
      <c r="C548" t="s">
        <v>49</v>
      </c>
      <c r="D548" t="s">
        <v>50</v>
      </c>
      <c r="E548" s="8">
        <f>-1*0</f>
        <v>0</v>
      </c>
      <c r="F548" s="8">
        <f>-1*-28000</f>
        <v>28000</v>
      </c>
      <c r="G548" s="12">
        <f>E548-F548</f>
        <v>-28000</v>
      </c>
      <c r="H548" s="13">
        <f>IF(F548&lt;&gt;0,G548/F548*100,0)</f>
        <v>-100</v>
      </c>
      <c r="J548">
        <v>10</v>
      </c>
      <c r="K548" t="s">
        <v>49</v>
      </c>
    </row>
    <row r="549" spans="3:11" ht="12.75">
      <c r="C549" t="s">
        <v>51</v>
      </c>
      <c r="D549" t="s">
        <v>52</v>
      </c>
      <c r="E549" s="8">
        <f>-1*0</f>
        <v>0</v>
      </c>
      <c r="F549" s="8">
        <f>-1*-60000</f>
        <v>60000</v>
      </c>
      <c r="G549" s="12">
        <f>E549-F549</f>
        <v>-60000</v>
      </c>
      <c r="H549" s="13">
        <f>IF(F549&lt;&gt;0,G549/F549*100,0)</f>
        <v>-100</v>
      </c>
      <c r="J549">
        <v>10</v>
      </c>
      <c r="K549" t="s">
        <v>51</v>
      </c>
    </row>
    <row r="550" spans="3:11" ht="12.75">
      <c r="C550" t="s">
        <v>53</v>
      </c>
      <c r="D550" t="s">
        <v>54</v>
      </c>
      <c r="E550" s="8">
        <f>-1*0</f>
        <v>0</v>
      </c>
      <c r="F550" s="8">
        <f>-1*-16000</f>
        <v>16000</v>
      </c>
      <c r="G550" s="12">
        <f>E550-F550</f>
        <v>-16000</v>
      </c>
      <c r="H550" s="13">
        <f>IF(F550&lt;&gt;0,G550/F550*100,0)</f>
        <v>-100</v>
      </c>
      <c r="J550">
        <v>10</v>
      </c>
      <c r="K550" t="s">
        <v>53</v>
      </c>
    </row>
    <row r="551" spans="3:11" ht="12.75">
      <c r="C551" t="s">
        <v>55</v>
      </c>
      <c r="D551" t="s">
        <v>56</v>
      </c>
      <c r="E551" s="8">
        <f>1*0</f>
        <v>0</v>
      </c>
      <c r="F551" s="8">
        <f>1*10000</f>
        <v>10000</v>
      </c>
      <c r="G551" s="12">
        <f>E551-F551</f>
        <v>-10000</v>
      </c>
      <c r="H551" s="13">
        <f>IF(F551&lt;&gt;0,G551/F551*100,0)</f>
        <v>-100</v>
      </c>
      <c r="J551">
        <v>10</v>
      </c>
      <c r="K551" t="s">
        <v>55</v>
      </c>
    </row>
    <row r="552" spans="3:11" ht="12.75">
      <c r="C552" t="s">
        <v>57</v>
      </c>
      <c r="D552" t="s">
        <v>58</v>
      </c>
      <c r="E552" s="8">
        <f>1*0</f>
        <v>0</v>
      </c>
      <c r="F552" s="8">
        <f>1*67000</f>
        <v>67000</v>
      </c>
      <c r="G552" s="12">
        <f>E552-F552</f>
        <v>-67000</v>
      </c>
      <c r="H552" s="13">
        <f>IF(F552&lt;&gt;0,G552/F552*100,0)</f>
        <v>-100</v>
      </c>
      <c r="J552">
        <v>10</v>
      </c>
      <c r="K552" t="s">
        <v>57</v>
      </c>
    </row>
    <row r="553" spans="3:11" ht="12.75">
      <c r="C553" t="s">
        <v>59</v>
      </c>
      <c r="D553" t="s">
        <v>60</v>
      </c>
      <c r="E553" s="8">
        <f>1*0</f>
        <v>0</v>
      </c>
      <c r="F553" s="8">
        <f>1*15000</f>
        <v>15000</v>
      </c>
      <c r="G553" s="12">
        <f>E553-F553</f>
        <v>-15000</v>
      </c>
      <c r="H553" s="13">
        <f>IF(F553&lt;&gt;0,G553/F553*100,0)</f>
        <v>-100</v>
      </c>
      <c r="J553">
        <v>10</v>
      </c>
      <c r="K553" t="s">
        <v>59</v>
      </c>
    </row>
    <row r="554" spans="3:11" ht="12.75">
      <c r="C554" t="s">
        <v>61</v>
      </c>
      <c r="D554" t="s">
        <v>60</v>
      </c>
      <c r="E554" s="8">
        <f>1*0</f>
        <v>0</v>
      </c>
      <c r="F554" s="8">
        <f>1*8000</f>
        <v>8000</v>
      </c>
      <c r="G554" s="12">
        <f>E554-F554</f>
        <v>-8000</v>
      </c>
      <c r="H554" s="13">
        <f>IF(F554&lt;&gt;0,G554/F554*100,0)</f>
        <v>-100</v>
      </c>
      <c r="J554">
        <v>10</v>
      </c>
      <c r="K554" t="s">
        <v>62</v>
      </c>
    </row>
    <row r="555" spans="3:11" ht="12.75">
      <c r="C555" t="s">
        <v>63</v>
      </c>
      <c r="D555" t="s">
        <v>60</v>
      </c>
      <c r="E555" s="8">
        <f>1*0</f>
        <v>0</v>
      </c>
      <c r="F555" s="8">
        <f>1*12000</f>
        <v>12000</v>
      </c>
      <c r="G555" s="12">
        <f>E555-F555</f>
        <v>-12000</v>
      </c>
      <c r="H555" s="13">
        <f>IF(F555&lt;&gt;0,G555/F555*100,0)</f>
        <v>-100</v>
      </c>
      <c r="J555">
        <v>10</v>
      </c>
      <c r="K555" t="s">
        <v>64</v>
      </c>
    </row>
    <row r="556" spans="3:11" ht="12.75">
      <c r="C556" t="s">
        <v>65</v>
      </c>
      <c r="D556" t="s">
        <v>66</v>
      </c>
      <c r="E556" s="8">
        <f>1*0</f>
        <v>0</v>
      </c>
      <c r="F556" s="8">
        <f>1*60000</f>
        <v>60000</v>
      </c>
      <c r="G556" s="12">
        <f>E556-F556</f>
        <v>-60000</v>
      </c>
      <c r="H556" s="13">
        <f>IF(F556&lt;&gt;0,G556/F556*100,0)</f>
        <v>-100</v>
      </c>
      <c r="J556">
        <v>10</v>
      </c>
      <c r="K556" t="s">
        <v>65</v>
      </c>
    </row>
    <row r="557" spans="3:11" ht="12.75">
      <c r="C557" t="s">
        <v>67</v>
      </c>
      <c r="D557" t="s">
        <v>66</v>
      </c>
      <c r="E557" s="8">
        <f>1*0</f>
        <v>0</v>
      </c>
      <c r="F557" s="8">
        <f>1*26000</f>
        <v>26000</v>
      </c>
      <c r="G557" s="12">
        <f>E557-F557</f>
        <v>-26000</v>
      </c>
      <c r="H557" s="13">
        <f>IF(F557&lt;&gt;0,G557/F557*100,0)</f>
        <v>-100</v>
      </c>
      <c r="J557">
        <v>10</v>
      </c>
      <c r="K557" t="s">
        <v>68</v>
      </c>
    </row>
    <row r="558" spans="3:11" ht="12.75">
      <c r="C558" t="s">
        <v>69</v>
      </c>
      <c r="D558" t="s">
        <v>66</v>
      </c>
      <c r="E558" s="8">
        <f>1*0</f>
        <v>0</v>
      </c>
      <c r="F558" s="8">
        <f>1*14000</f>
        <v>14000</v>
      </c>
      <c r="G558" s="12">
        <f>E558-F558</f>
        <v>-14000</v>
      </c>
      <c r="H558" s="13">
        <f>IF(F558&lt;&gt;0,G558/F558*100,0)</f>
        <v>-100</v>
      </c>
      <c r="J558">
        <v>10</v>
      </c>
      <c r="K558" t="s">
        <v>70</v>
      </c>
    </row>
    <row r="559" spans="3:11" ht="12.75">
      <c r="C559" t="s">
        <v>71</v>
      </c>
      <c r="D559" t="s">
        <v>72</v>
      </c>
      <c r="E559" s="8">
        <f>1*0</f>
        <v>0</v>
      </c>
      <c r="F559" s="8">
        <f>1*13000</f>
        <v>13000</v>
      </c>
      <c r="G559" s="12">
        <f>E559-F559</f>
        <v>-13000</v>
      </c>
      <c r="H559" s="13">
        <f>IF(F559&lt;&gt;0,G559/F559*100,0)</f>
        <v>-100</v>
      </c>
      <c r="J559">
        <v>10</v>
      </c>
      <c r="K559" t="s">
        <v>71</v>
      </c>
    </row>
    <row r="560" spans="3:11" ht="12.75">
      <c r="C560" t="s">
        <v>73</v>
      </c>
      <c r="D560" t="s">
        <v>74</v>
      </c>
      <c r="E560" s="8">
        <f>1*0</f>
        <v>0</v>
      </c>
      <c r="F560" s="8">
        <f>1*3000</f>
        <v>3000</v>
      </c>
      <c r="G560" s="12">
        <f>E560-F560</f>
        <v>-3000</v>
      </c>
      <c r="H560" s="13">
        <f>IF(F560&lt;&gt;0,G560/F560*100,0)</f>
        <v>-100</v>
      </c>
      <c r="J560">
        <v>10</v>
      </c>
      <c r="K560" t="s">
        <v>73</v>
      </c>
    </row>
    <row r="561" spans="3:11" ht="12.75">
      <c r="C561" t="s">
        <v>75</v>
      </c>
      <c r="D561" t="s">
        <v>77</v>
      </c>
      <c r="E561" s="8">
        <f>1*0</f>
        <v>0</v>
      </c>
      <c r="F561" s="8">
        <f>1*12000</f>
        <v>12000</v>
      </c>
      <c r="G561" s="12">
        <f>E561-F561</f>
        <v>-12000</v>
      </c>
      <c r="H561" s="13">
        <f>IF(F561&lt;&gt;0,G561/F561*100,0)</f>
        <v>-100</v>
      </c>
      <c r="J561">
        <v>10</v>
      </c>
      <c r="K561" t="s">
        <v>76</v>
      </c>
    </row>
    <row r="562" spans="3:11" ht="12.75">
      <c r="C562" t="s">
        <v>78</v>
      </c>
      <c r="D562" t="s">
        <v>77</v>
      </c>
      <c r="E562" s="8">
        <f>1*0</f>
        <v>0</v>
      </c>
      <c r="F562" s="8">
        <f>1*10000</f>
        <v>10000</v>
      </c>
      <c r="G562" s="12">
        <f>E562-F562</f>
        <v>-10000</v>
      </c>
      <c r="H562" s="13">
        <f>IF(F562&lt;&gt;0,G562/F562*100,0)</f>
        <v>-100</v>
      </c>
      <c r="J562">
        <v>10</v>
      </c>
      <c r="K562" t="s">
        <v>79</v>
      </c>
    </row>
    <row r="563" spans="3:11" ht="12.75">
      <c r="C563" t="s">
        <v>80</v>
      </c>
      <c r="D563" t="s">
        <v>81</v>
      </c>
      <c r="E563" s="8">
        <f>1*0</f>
        <v>0</v>
      </c>
      <c r="F563" s="8">
        <f>1*16000</f>
        <v>16000</v>
      </c>
      <c r="G563" s="12">
        <f>E563-F563</f>
        <v>-16000</v>
      </c>
      <c r="H563" s="13">
        <f>IF(F563&lt;&gt;0,G563/F563*100,0)</f>
        <v>-100</v>
      </c>
      <c r="J563">
        <v>10</v>
      </c>
      <c r="K563" t="s">
        <v>80</v>
      </c>
    </row>
    <row r="564" spans="3:11" ht="12.75">
      <c r="C564" t="s">
        <v>82</v>
      </c>
      <c r="D564" t="s">
        <v>84</v>
      </c>
      <c r="E564" s="8">
        <f>1*0</f>
        <v>0</v>
      </c>
      <c r="F564" s="8">
        <f>1*13000</f>
        <v>13000</v>
      </c>
      <c r="G564" s="12">
        <f>E564-F564</f>
        <v>-13000</v>
      </c>
      <c r="H564" s="13">
        <f>IF(F564&lt;&gt;0,G564/F564*100,0)</f>
        <v>-100</v>
      </c>
      <c r="J564">
        <v>10</v>
      </c>
      <c r="K564" t="s">
        <v>83</v>
      </c>
    </row>
    <row r="565" spans="3:11" ht="12.75">
      <c r="C565" t="s">
        <v>85</v>
      </c>
      <c r="D565" t="s">
        <v>84</v>
      </c>
      <c r="E565" s="8">
        <f>1*0</f>
        <v>0</v>
      </c>
      <c r="F565" s="8">
        <f>1*13000</f>
        <v>13000</v>
      </c>
      <c r="G565" s="12">
        <f>E565-F565</f>
        <v>-13000</v>
      </c>
      <c r="H565" s="13">
        <f>IF(F565&lt;&gt;0,G565/F565*100,0)</f>
        <v>-100</v>
      </c>
      <c r="J565">
        <v>10</v>
      </c>
      <c r="K565" t="s">
        <v>86</v>
      </c>
    </row>
    <row r="566" spans="3:11" ht="12.75">
      <c r="C566" t="s">
        <v>87</v>
      </c>
      <c r="D566" t="s">
        <v>88</v>
      </c>
      <c r="E566" s="8">
        <f>1*0</f>
        <v>0</v>
      </c>
      <c r="F566" s="8">
        <f>1*10000</f>
        <v>10000</v>
      </c>
      <c r="G566" s="12">
        <f>E566-F566</f>
        <v>-10000</v>
      </c>
      <c r="H566" s="13">
        <f>IF(F566&lt;&gt;0,G566/F566*100,0)</f>
        <v>-100</v>
      </c>
      <c r="J566">
        <v>10</v>
      </c>
      <c r="K566" t="s">
        <v>87</v>
      </c>
    </row>
    <row r="567" spans="3:11" ht="12.75">
      <c r="C567" t="s">
        <v>89</v>
      </c>
      <c r="D567" t="s">
        <v>90</v>
      </c>
      <c r="E567" s="8">
        <f>1*0</f>
        <v>0</v>
      </c>
      <c r="F567" s="8">
        <f>1*29000</f>
        <v>29000</v>
      </c>
      <c r="G567" s="12">
        <f>E567-F567</f>
        <v>-29000</v>
      </c>
      <c r="H567" s="13">
        <f>IF(F567&lt;&gt;0,G567/F567*100,0)</f>
        <v>-100</v>
      </c>
      <c r="J567">
        <v>10</v>
      </c>
      <c r="K567" t="s">
        <v>89</v>
      </c>
    </row>
    <row r="568" spans="3:11" ht="12.75">
      <c r="C568" t="s">
        <v>91</v>
      </c>
      <c r="D568" t="s">
        <v>92</v>
      </c>
      <c r="E568" s="8">
        <f>1*0</f>
        <v>0</v>
      </c>
      <c r="F568" s="8">
        <f>1*3000</f>
        <v>3000</v>
      </c>
      <c r="G568" s="12">
        <f>E568-F568</f>
        <v>-3000</v>
      </c>
      <c r="H568" s="13">
        <f>IF(F568&lt;&gt;0,G568/F568*100,0)</f>
        <v>-100</v>
      </c>
      <c r="J568">
        <v>10</v>
      </c>
      <c r="K568" t="s">
        <v>91</v>
      </c>
    </row>
    <row r="569" spans="3:11" ht="12.75">
      <c r="C569" t="s">
        <v>93</v>
      </c>
      <c r="D569" t="s">
        <v>95</v>
      </c>
      <c r="E569" s="8">
        <f>1*0</f>
        <v>0</v>
      </c>
      <c r="F569" s="8">
        <f>1*12000</f>
        <v>12000</v>
      </c>
      <c r="G569" s="12">
        <f>E569-F569</f>
        <v>-12000</v>
      </c>
      <c r="H569" s="13">
        <f>IF(F569&lt;&gt;0,G569/F569*100,0)</f>
        <v>-100</v>
      </c>
      <c r="J569">
        <v>10</v>
      </c>
      <c r="K569" t="s">
        <v>94</v>
      </c>
    </row>
    <row r="570" spans="3:11" ht="12.75">
      <c r="C570" t="s">
        <v>96</v>
      </c>
      <c r="D570" t="s">
        <v>95</v>
      </c>
      <c r="E570" s="8">
        <f>1*0</f>
        <v>0</v>
      </c>
      <c r="F570" s="8">
        <f>1*17000</f>
        <v>17000</v>
      </c>
      <c r="G570" s="12">
        <f>E570-F570</f>
        <v>-17000</v>
      </c>
      <c r="H570" s="13">
        <f>IF(F570&lt;&gt;0,G570/F570*100,0)</f>
        <v>-100</v>
      </c>
      <c r="J570">
        <v>10</v>
      </c>
      <c r="K570" t="s">
        <v>97</v>
      </c>
    </row>
    <row r="571" spans="3:11" ht="12.75">
      <c r="C571" t="s">
        <v>98</v>
      </c>
      <c r="D571" t="s">
        <v>99</v>
      </c>
      <c r="E571" s="8">
        <f>1*0</f>
        <v>0</v>
      </c>
      <c r="F571" s="8">
        <f>1*7000</f>
        <v>7000</v>
      </c>
      <c r="G571" s="12">
        <f>E571-F571</f>
        <v>-7000</v>
      </c>
      <c r="H571" s="13">
        <f>IF(F571&lt;&gt;0,G571/F571*100,0)</f>
        <v>-100</v>
      </c>
      <c r="J571">
        <v>10</v>
      </c>
      <c r="K571" t="s">
        <v>98</v>
      </c>
    </row>
    <row r="572" spans="3:11" ht="12.75">
      <c r="C572" t="s">
        <v>100</v>
      </c>
      <c r="D572" t="s">
        <v>102</v>
      </c>
      <c r="E572" s="8">
        <f>1*0</f>
        <v>0</v>
      </c>
      <c r="F572" s="8">
        <f>1*18000</f>
        <v>18000</v>
      </c>
      <c r="G572" s="12">
        <f>E572-F572</f>
        <v>-18000</v>
      </c>
      <c r="H572" s="13">
        <f>IF(F572&lt;&gt;0,G572/F572*100,0)</f>
        <v>-100</v>
      </c>
      <c r="J572">
        <v>10</v>
      </c>
      <c r="K572" t="s">
        <v>101</v>
      </c>
    </row>
    <row r="573" spans="3:11" ht="12.75">
      <c r="C573" t="s">
        <v>103</v>
      </c>
      <c r="D573" t="s">
        <v>102</v>
      </c>
      <c r="E573" s="8">
        <f>1*0</f>
        <v>0</v>
      </c>
      <c r="F573" s="8">
        <f>1*17000</f>
        <v>17000</v>
      </c>
      <c r="G573" s="12">
        <f>E573-F573</f>
        <v>-17000</v>
      </c>
      <c r="H573" s="13">
        <f>IF(F573&lt;&gt;0,G573/F573*100,0)</f>
        <v>-100</v>
      </c>
      <c r="J573">
        <v>10</v>
      </c>
      <c r="K573" t="s">
        <v>104</v>
      </c>
    </row>
    <row r="574" spans="3:11" ht="12.75">
      <c r="C574" t="s">
        <v>105</v>
      </c>
      <c r="D574" t="s">
        <v>106</v>
      </c>
      <c r="E574" s="8">
        <f>1*0</f>
        <v>0</v>
      </c>
      <c r="F574" s="8">
        <f>1*8000</f>
        <v>8000</v>
      </c>
      <c r="G574" s="12">
        <f>E574-F574</f>
        <v>-8000</v>
      </c>
      <c r="H574" s="13">
        <f>IF(F574&lt;&gt;0,G574/F574*100,0)</f>
        <v>-100</v>
      </c>
      <c r="J574">
        <v>10</v>
      </c>
      <c r="K574" t="s">
        <v>105</v>
      </c>
    </row>
    <row r="575" spans="3:11" ht="12.75">
      <c r="C575" t="s">
        <v>107</v>
      </c>
      <c r="D575" t="s">
        <v>108</v>
      </c>
      <c r="E575" s="8">
        <f>1*0</f>
        <v>0</v>
      </c>
      <c r="F575" s="8">
        <f>1*33000</f>
        <v>33000</v>
      </c>
      <c r="G575" s="12">
        <f>E575-F575</f>
        <v>-33000</v>
      </c>
      <c r="H575" s="13">
        <f>IF(F575&lt;&gt;0,G575/F575*100,0)</f>
        <v>-100</v>
      </c>
      <c r="J575">
        <v>10</v>
      </c>
      <c r="K575" t="s">
        <v>107</v>
      </c>
    </row>
    <row r="576" spans="3:11" ht="12.75">
      <c r="C576" t="s">
        <v>109</v>
      </c>
      <c r="D576" t="s">
        <v>110</v>
      </c>
      <c r="E576" s="8">
        <f>1*0</f>
        <v>0</v>
      </c>
      <c r="F576" s="8">
        <f>1*44000</f>
        <v>44000</v>
      </c>
      <c r="G576" s="12">
        <f>E576-F576</f>
        <v>-44000</v>
      </c>
      <c r="H576" s="13">
        <f>IF(F576&lt;&gt;0,G576/F576*100,0)</f>
        <v>-100</v>
      </c>
      <c r="J576">
        <v>10</v>
      </c>
      <c r="K576" t="s">
        <v>109</v>
      </c>
    </row>
    <row r="577" spans="3:11" ht="12.75">
      <c r="C577" t="s">
        <v>111</v>
      </c>
      <c r="D577" t="s">
        <v>112</v>
      </c>
      <c r="E577" s="8">
        <f>1*0</f>
        <v>0</v>
      </c>
      <c r="F577" s="8">
        <f>1*10000</f>
        <v>10000</v>
      </c>
      <c r="G577" s="12">
        <f>E577-F577</f>
        <v>-10000</v>
      </c>
      <c r="H577" s="13">
        <f>IF(F577&lt;&gt;0,G577/F577*100,0)</f>
        <v>-100</v>
      </c>
      <c r="J577">
        <v>10</v>
      </c>
      <c r="K577" t="s">
        <v>111</v>
      </c>
    </row>
    <row r="578" spans="3:11" ht="12.75">
      <c r="C578" t="s">
        <v>113</v>
      </c>
      <c r="D578" t="s">
        <v>114</v>
      </c>
      <c r="E578" s="8">
        <f>1*0</f>
        <v>0</v>
      </c>
      <c r="F578" s="8">
        <f>1*38000</f>
        <v>38000</v>
      </c>
      <c r="G578" s="12">
        <f>E578-F578</f>
        <v>-38000</v>
      </c>
      <c r="H578" s="13">
        <f>IF(F578&lt;&gt;0,G578/F578*100,0)</f>
        <v>-100</v>
      </c>
      <c r="J578">
        <v>10</v>
      </c>
      <c r="K578" t="s">
        <v>113</v>
      </c>
    </row>
    <row r="579" spans="3:11" ht="12.75">
      <c r="C579" t="s">
        <v>115</v>
      </c>
      <c r="D579" t="s">
        <v>116</v>
      </c>
      <c r="E579" s="8">
        <f>1*0</f>
        <v>0</v>
      </c>
      <c r="F579" s="8">
        <f>1*25000</f>
        <v>25000</v>
      </c>
      <c r="G579" s="12">
        <f>E579-F579</f>
        <v>-25000</v>
      </c>
      <c r="H579" s="13">
        <f>IF(F579&lt;&gt;0,G579/F579*100,0)</f>
        <v>-100</v>
      </c>
      <c r="J579">
        <v>10</v>
      </c>
      <c r="K579" t="s">
        <v>115</v>
      </c>
    </row>
    <row r="580" spans="3:11" ht="12.75">
      <c r="C580" t="s">
        <v>117</v>
      </c>
      <c r="D580" t="s">
        <v>118</v>
      </c>
      <c r="E580" s="8">
        <f>1*0</f>
        <v>0</v>
      </c>
      <c r="F580" s="8">
        <f>1*12000</f>
        <v>12000</v>
      </c>
      <c r="G580" s="12">
        <f>E580-F580</f>
        <v>-12000</v>
      </c>
      <c r="H580" s="13">
        <f>IF(F580&lt;&gt;0,G580/F580*100,0)</f>
        <v>-100</v>
      </c>
      <c r="J580">
        <v>10</v>
      </c>
      <c r="K580" t="s">
        <v>117</v>
      </c>
    </row>
    <row r="581" spans="3:11" ht="12.75">
      <c r="C581" t="s">
        <v>119</v>
      </c>
      <c r="D581" t="s">
        <v>120</v>
      </c>
      <c r="E581" s="8">
        <f>1*0</f>
        <v>0</v>
      </c>
      <c r="F581" s="8">
        <f>1*18000</f>
        <v>18000</v>
      </c>
      <c r="G581" s="12">
        <f>E581-F581</f>
        <v>-18000</v>
      </c>
      <c r="H581" s="13">
        <f>IF(F581&lt;&gt;0,G581/F581*100,0)</f>
        <v>-100</v>
      </c>
      <c r="J581">
        <v>10</v>
      </c>
      <c r="K581" t="s">
        <v>119</v>
      </c>
    </row>
    <row r="582" spans="3:11" ht="12.75">
      <c r="C582" t="s">
        <v>121</v>
      </c>
      <c r="D582" t="s">
        <v>122</v>
      </c>
      <c r="E582" s="8">
        <f>1*0</f>
        <v>0</v>
      </c>
      <c r="F582" s="8">
        <f>1*15000</f>
        <v>15000</v>
      </c>
      <c r="G582" s="12">
        <f>E582-F582</f>
        <v>-15000</v>
      </c>
      <c r="H582" s="13">
        <f>IF(F582&lt;&gt;0,G582/F582*100,0)</f>
        <v>-100</v>
      </c>
      <c r="J582">
        <v>10</v>
      </c>
      <c r="K582" t="s">
        <v>121</v>
      </c>
    </row>
    <row r="583" spans="3:11" ht="12.75">
      <c r="C583" t="s">
        <v>123</v>
      </c>
      <c r="D583" t="s">
        <v>122</v>
      </c>
      <c r="E583" s="8">
        <f>1*0</f>
        <v>0</v>
      </c>
      <c r="F583" s="8">
        <f>1*37000</f>
        <v>37000</v>
      </c>
      <c r="G583" s="12">
        <f>E583-F583</f>
        <v>-37000</v>
      </c>
      <c r="H583" s="13">
        <f>IF(F583&lt;&gt;0,G583/F583*100,0)</f>
        <v>-100</v>
      </c>
      <c r="J583">
        <v>10</v>
      </c>
      <c r="K583" t="s">
        <v>124</v>
      </c>
    </row>
    <row r="584" spans="3:11" ht="12.75">
      <c r="C584" t="s">
        <v>125</v>
      </c>
      <c r="D584" t="s">
        <v>122</v>
      </c>
      <c r="E584" s="8">
        <f>1*0</f>
        <v>0</v>
      </c>
      <c r="F584" s="8">
        <f>1*15000</f>
        <v>15000</v>
      </c>
      <c r="G584" s="12">
        <f>E584-F584</f>
        <v>-15000</v>
      </c>
      <c r="H584" s="13">
        <f>IF(F584&lt;&gt;0,G584/F584*100,0)</f>
        <v>-100</v>
      </c>
      <c r="J584">
        <v>10</v>
      </c>
      <c r="K584" t="s">
        <v>126</v>
      </c>
    </row>
    <row r="585" spans="3:11" ht="12.75">
      <c r="C585" t="s">
        <v>127</v>
      </c>
      <c r="D585" t="s">
        <v>128</v>
      </c>
      <c r="E585" s="8">
        <f>1*0</f>
        <v>0</v>
      </c>
      <c r="F585" s="8">
        <f>1*5000</f>
        <v>5000</v>
      </c>
      <c r="G585" s="12">
        <f>E585-F585</f>
        <v>-5000</v>
      </c>
      <c r="H585" s="13">
        <f>IF(F585&lt;&gt;0,G585/F585*100,0)</f>
        <v>-100</v>
      </c>
      <c r="J585">
        <v>10</v>
      </c>
      <c r="K585" t="s">
        <v>127</v>
      </c>
    </row>
    <row r="586" spans="3:11" ht="12.75">
      <c r="C586" t="s">
        <v>129</v>
      </c>
      <c r="D586" t="s">
        <v>128</v>
      </c>
      <c r="E586" s="8">
        <f>1*0</f>
        <v>0</v>
      </c>
      <c r="F586" s="8">
        <f>1*12000</f>
        <v>12000</v>
      </c>
      <c r="G586" s="12">
        <f>E586-F586</f>
        <v>-12000</v>
      </c>
      <c r="H586" s="13">
        <f>IF(F586&lt;&gt;0,G586/F586*100,0)</f>
        <v>-100</v>
      </c>
      <c r="J586">
        <v>10</v>
      </c>
      <c r="K586" t="s">
        <v>130</v>
      </c>
    </row>
    <row r="587" spans="3:11" ht="12.75">
      <c r="C587" t="s">
        <v>131</v>
      </c>
      <c r="D587" t="s">
        <v>128</v>
      </c>
      <c r="E587" s="8">
        <f>1*0</f>
        <v>0</v>
      </c>
      <c r="F587" s="8">
        <f>1*12000</f>
        <v>12000</v>
      </c>
      <c r="G587" s="12">
        <f>E587-F587</f>
        <v>-12000</v>
      </c>
      <c r="H587" s="13">
        <f>IF(F587&lt;&gt;0,G587/F587*100,0)</f>
        <v>-100</v>
      </c>
      <c r="J587">
        <v>10</v>
      </c>
      <c r="K587" t="s">
        <v>132</v>
      </c>
    </row>
    <row r="588" spans="3:11" ht="12.75">
      <c r="C588" t="s">
        <v>133</v>
      </c>
      <c r="D588" t="s">
        <v>135</v>
      </c>
      <c r="E588" s="8">
        <f>1*0</f>
        <v>0</v>
      </c>
      <c r="F588" s="8">
        <f>1*54000</f>
        <v>54000</v>
      </c>
      <c r="G588" s="12">
        <f>E588-F588</f>
        <v>-54000</v>
      </c>
      <c r="H588" s="13">
        <f>IF(F588&lt;&gt;0,G588/F588*100,0)</f>
        <v>-100</v>
      </c>
      <c r="J588">
        <v>10</v>
      </c>
      <c r="K588" t="s">
        <v>134</v>
      </c>
    </row>
    <row r="589" spans="3:11" ht="12.75">
      <c r="C589" t="s">
        <v>136</v>
      </c>
      <c r="D589" t="s">
        <v>135</v>
      </c>
      <c r="E589" s="8">
        <f>1*0</f>
        <v>0</v>
      </c>
      <c r="F589" s="8">
        <f>1*125000</f>
        <v>125000</v>
      </c>
      <c r="G589" s="12">
        <f>E589-F589</f>
        <v>-125000</v>
      </c>
      <c r="H589" s="13">
        <f>IF(F589&lt;&gt;0,G589/F589*100,0)</f>
        <v>-100</v>
      </c>
      <c r="J589">
        <v>10</v>
      </c>
      <c r="K589" t="s">
        <v>137</v>
      </c>
    </row>
    <row r="590" spans="3:11" ht="12.75">
      <c r="C590" t="s">
        <v>138</v>
      </c>
      <c r="D590" t="s">
        <v>140</v>
      </c>
      <c r="E590" s="8">
        <f>1*0</f>
        <v>0</v>
      </c>
      <c r="F590" s="8">
        <f>1*14000</f>
        <v>14000</v>
      </c>
      <c r="G590" s="12">
        <f>E590-F590</f>
        <v>-14000</v>
      </c>
      <c r="H590" s="13">
        <f>IF(F590&lt;&gt;0,G590/F590*100,0)</f>
        <v>-100</v>
      </c>
      <c r="J590">
        <v>10</v>
      </c>
      <c r="K590" t="s">
        <v>139</v>
      </c>
    </row>
    <row r="591" spans="3:11" ht="12.75">
      <c r="C591" t="s">
        <v>141</v>
      </c>
      <c r="D591" t="s">
        <v>140</v>
      </c>
      <c r="E591" s="8">
        <f>1*0</f>
        <v>0</v>
      </c>
      <c r="F591" s="8">
        <f>1*16000</f>
        <v>16000</v>
      </c>
      <c r="G591" s="12">
        <f>E591-F591</f>
        <v>-16000</v>
      </c>
      <c r="H591" s="13">
        <f>IF(F591&lt;&gt;0,G591/F591*100,0)</f>
        <v>-100</v>
      </c>
      <c r="J591">
        <v>10</v>
      </c>
      <c r="K591" t="s">
        <v>142</v>
      </c>
    </row>
    <row r="592" spans="3:11" ht="12.75">
      <c r="C592" t="s">
        <v>143</v>
      </c>
      <c r="D592" t="s">
        <v>144</v>
      </c>
      <c r="E592" s="8">
        <f>1*0</f>
        <v>0</v>
      </c>
      <c r="F592" s="8">
        <f>1*16000</f>
        <v>16000</v>
      </c>
      <c r="G592" s="12">
        <f>E592-F592</f>
        <v>-16000</v>
      </c>
      <c r="H592" s="13">
        <f>IF(F592&lt;&gt;0,G592/F592*100,0)</f>
        <v>-100</v>
      </c>
      <c r="J592">
        <v>10</v>
      </c>
      <c r="K592" t="s">
        <v>143</v>
      </c>
    </row>
    <row r="593" ht="12.75">
      <c r="J593">
        <v>10.1</v>
      </c>
    </row>
    <row r="594" spans="1:11" ht="12.75">
      <c r="A594" t="s">
        <v>22</v>
      </c>
      <c r="B594" s="10">
        <v>44165</v>
      </c>
      <c r="C594" t="s">
        <v>11</v>
      </c>
      <c r="D594" t="s">
        <v>12</v>
      </c>
      <c r="E594" s="8">
        <f>-1*0</f>
        <v>0</v>
      </c>
      <c r="F594" s="8">
        <f>-1*-600000</f>
        <v>600000</v>
      </c>
      <c r="G594" s="12">
        <f>E594-F594</f>
        <v>-600000</v>
      </c>
      <c r="H594" s="13">
        <f>IF(F594&lt;&gt;0,G594/F594*100,0)</f>
        <v>-100</v>
      </c>
      <c r="J594">
        <v>11</v>
      </c>
      <c r="K594" t="s">
        <v>11</v>
      </c>
    </row>
    <row r="595" spans="3:11" ht="12.75">
      <c r="C595" t="s">
        <v>24</v>
      </c>
      <c r="D595" t="s">
        <v>12</v>
      </c>
      <c r="E595" s="8">
        <f>-1*0</f>
        <v>0</v>
      </c>
      <c r="F595" s="8">
        <f>-1*-82000</f>
        <v>82000</v>
      </c>
      <c r="G595" s="12">
        <f>E595-F595</f>
        <v>-82000</v>
      </c>
      <c r="H595" s="13">
        <f>IF(F595&lt;&gt;0,G595/F595*100,0)</f>
        <v>-100</v>
      </c>
      <c r="J595">
        <v>11</v>
      </c>
      <c r="K595" t="s">
        <v>25</v>
      </c>
    </row>
    <row r="596" spans="3:11" ht="12.75">
      <c r="C596" t="s">
        <v>26</v>
      </c>
      <c r="D596" t="s">
        <v>12</v>
      </c>
      <c r="E596" s="8">
        <f>-1*0</f>
        <v>0</v>
      </c>
      <c r="F596" s="8">
        <f>-1*-186000</f>
        <v>186000</v>
      </c>
      <c r="G596" s="12">
        <f>E596-F596</f>
        <v>-186000</v>
      </c>
      <c r="H596" s="13">
        <f>IF(F596&lt;&gt;0,G596/F596*100,0)</f>
        <v>-100</v>
      </c>
      <c r="J596">
        <v>11</v>
      </c>
      <c r="K596" t="s">
        <v>27</v>
      </c>
    </row>
    <row r="597" spans="3:11" ht="12.75">
      <c r="C597" t="s">
        <v>28</v>
      </c>
      <c r="D597" t="s">
        <v>30</v>
      </c>
      <c r="E597" s="8">
        <f>-1*0</f>
        <v>0</v>
      </c>
      <c r="F597" s="8">
        <f>-1*-5000</f>
        <v>5000</v>
      </c>
      <c r="G597" s="12">
        <f>E597-F597</f>
        <v>-5000</v>
      </c>
      <c r="H597" s="13">
        <f>IF(F597&lt;&gt;0,G597/F597*100,0)</f>
        <v>-100</v>
      </c>
      <c r="J597">
        <v>11</v>
      </c>
      <c r="K597" t="s">
        <v>29</v>
      </c>
    </row>
    <row r="598" spans="3:11" ht="12.75">
      <c r="C598" t="s">
        <v>31</v>
      </c>
      <c r="D598" t="s">
        <v>30</v>
      </c>
      <c r="E598" s="8">
        <f>-1*0</f>
        <v>0</v>
      </c>
      <c r="F598" s="8">
        <f>-1*-7000</f>
        <v>7000</v>
      </c>
      <c r="G598" s="12">
        <f>E598-F598</f>
        <v>-7000</v>
      </c>
      <c r="H598" s="13">
        <f>IF(F598&lt;&gt;0,G598/F598*100,0)</f>
        <v>-100</v>
      </c>
      <c r="J598">
        <v>11</v>
      </c>
      <c r="K598" t="s">
        <v>32</v>
      </c>
    </row>
    <row r="599" spans="3:11" ht="12.75">
      <c r="C599" t="s">
        <v>33</v>
      </c>
      <c r="D599" t="s">
        <v>30</v>
      </c>
      <c r="E599" s="8">
        <f>-1*0</f>
        <v>0</v>
      </c>
      <c r="F599" s="8">
        <f>-1*-2000</f>
        <v>2000</v>
      </c>
      <c r="G599" s="12">
        <f>E599-F599</f>
        <v>-2000</v>
      </c>
      <c r="H599" s="13">
        <f>IF(F599&lt;&gt;0,G599/F599*100,0)</f>
        <v>-100</v>
      </c>
      <c r="J599">
        <v>11</v>
      </c>
      <c r="K599" t="s">
        <v>34</v>
      </c>
    </row>
    <row r="600" spans="3:11" ht="12.75">
      <c r="C600" t="s">
        <v>35</v>
      </c>
      <c r="D600" t="s">
        <v>30</v>
      </c>
      <c r="E600" s="8">
        <f>-1*0</f>
        <v>0</v>
      </c>
      <c r="F600" s="8">
        <f>-1*-2000</f>
        <v>2000</v>
      </c>
      <c r="G600" s="12">
        <f>E600-F600</f>
        <v>-2000</v>
      </c>
      <c r="H600" s="13">
        <f>IF(F600&lt;&gt;0,G600/F600*100,0)</f>
        <v>-100</v>
      </c>
      <c r="J600">
        <v>11</v>
      </c>
      <c r="K600" t="s">
        <v>36</v>
      </c>
    </row>
    <row r="601" spans="3:11" ht="12.75">
      <c r="C601" t="s">
        <v>37</v>
      </c>
      <c r="D601" t="s">
        <v>30</v>
      </c>
      <c r="E601" s="8">
        <f>-1*0</f>
        <v>0</v>
      </c>
      <c r="F601" s="8">
        <f>-1*-6000</f>
        <v>6000</v>
      </c>
      <c r="G601" s="12">
        <f>E601-F601</f>
        <v>-6000</v>
      </c>
      <c r="H601" s="13">
        <f>IF(F601&lt;&gt;0,G601/F601*100,0)</f>
        <v>-100</v>
      </c>
      <c r="J601">
        <v>11</v>
      </c>
      <c r="K601" t="s">
        <v>38</v>
      </c>
    </row>
    <row r="602" spans="3:11" ht="12.75">
      <c r="C602" t="s">
        <v>39</v>
      </c>
      <c r="D602" t="s">
        <v>30</v>
      </c>
      <c r="E602" s="8">
        <f>-1*0</f>
        <v>0</v>
      </c>
      <c r="F602" s="8">
        <f>-1*-6000</f>
        <v>6000</v>
      </c>
      <c r="G602" s="12">
        <f>E602-F602</f>
        <v>-6000</v>
      </c>
      <c r="H602" s="13">
        <f>IF(F602&lt;&gt;0,G602/F602*100,0)</f>
        <v>-100</v>
      </c>
      <c r="J602">
        <v>11</v>
      </c>
      <c r="K602" t="s">
        <v>40</v>
      </c>
    </row>
    <row r="603" spans="3:11" ht="12.75">
      <c r="C603" t="s">
        <v>41</v>
      </c>
      <c r="D603" t="s">
        <v>30</v>
      </c>
      <c r="E603" s="8">
        <f>-1*0</f>
        <v>0</v>
      </c>
      <c r="F603" s="8">
        <f>-1*-3000</f>
        <v>3000</v>
      </c>
      <c r="G603" s="12">
        <f>E603-F603</f>
        <v>-3000</v>
      </c>
      <c r="H603" s="13">
        <f>IF(F603&lt;&gt;0,G603/F603*100,0)</f>
        <v>-100</v>
      </c>
      <c r="J603">
        <v>11</v>
      </c>
      <c r="K603" t="s">
        <v>42</v>
      </c>
    </row>
    <row r="604" spans="3:11" ht="12.75">
      <c r="C604" t="s">
        <v>43</v>
      </c>
      <c r="D604" t="s">
        <v>30</v>
      </c>
      <c r="E604" s="8">
        <f>-1*0</f>
        <v>0</v>
      </c>
      <c r="F604" s="8">
        <f>-1*-3000</f>
        <v>3000</v>
      </c>
      <c r="G604" s="12">
        <f>E604-F604</f>
        <v>-3000</v>
      </c>
      <c r="H604" s="13">
        <f>IF(F604&lt;&gt;0,G604/F604*100,0)</f>
        <v>-100</v>
      </c>
      <c r="J604">
        <v>11</v>
      </c>
      <c r="K604" t="s">
        <v>44</v>
      </c>
    </row>
    <row r="605" spans="3:11" ht="12.75">
      <c r="C605" t="s">
        <v>45</v>
      </c>
      <c r="D605" t="s">
        <v>46</v>
      </c>
      <c r="E605" s="8">
        <f>-1*0</f>
        <v>0</v>
      </c>
      <c r="F605" s="8">
        <f>-1*-16000</f>
        <v>16000</v>
      </c>
      <c r="G605" s="12">
        <f>E605-F605</f>
        <v>-16000</v>
      </c>
      <c r="H605" s="13">
        <f>IF(F605&lt;&gt;0,G605/F605*100,0)</f>
        <v>-100</v>
      </c>
      <c r="J605">
        <v>11</v>
      </c>
      <c r="K605" t="s">
        <v>45</v>
      </c>
    </row>
    <row r="606" spans="3:11" ht="12.75">
      <c r="C606" t="s">
        <v>47</v>
      </c>
      <c r="D606" t="s">
        <v>48</v>
      </c>
      <c r="E606" s="8">
        <f>-1*0</f>
        <v>0</v>
      </c>
      <c r="F606" s="8">
        <f>-1*-47000</f>
        <v>47000</v>
      </c>
      <c r="G606" s="12">
        <f>E606-F606</f>
        <v>-47000</v>
      </c>
      <c r="H606" s="13">
        <f>IF(F606&lt;&gt;0,G606/F606*100,0)</f>
        <v>-100</v>
      </c>
      <c r="J606">
        <v>11</v>
      </c>
      <c r="K606" t="s">
        <v>47</v>
      </c>
    </row>
    <row r="607" spans="3:11" ht="12.75">
      <c r="C607" t="s">
        <v>49</v>
      </c>
      <c r="D607" t="s">
        <v>50</v>
      </c>
      <c r="E607" s="8">
        <f>-1*0</f>
        <v>0</v>
      </c>
      <c r="F607" s="8">
        <f>-1*-28000</f>
        <v>28000</v>
      </c>
      <c r="G607" s="12">
        <f>E607-F607</f>
        <v>-28000</v>
      </c>
      <c r="H607" s="13">
        <f>IF(F607&lt;&gt;0,G607/F607*100,0)</f>
        <v>-100</v>
      </c>
      <c r="J607">
        <v>11</v>
      </c>
      <c r="K607" t="s">
        <v>49</v>
      </c>
    </row>
    <row r="608" spans="3:11" ht="12.75">
      <c r="C608" t="s">
        <v>51</v>
      </c>
      <c r="D608" t="s">
        <v>52</v>
      </c>
      <c r="E608" s="8">
        <f>-1*0</f>
        <v>0</v>
      </c>
      <c r="F608" s="8">
        <f>-1*-60000</f>
        <v>60000</v>
      </c>
      <c r="G608" s="12">
        <f>E608-F608</f>
        <v>-60000</v>
      </c>
      <c r="H608" s="13">
        <f>IF(F608&lt;&gt;0,G608/F608*100,0)</f>
        <v>-100</v>
      </c>
      <c r="J608">
        <v>11</v>
      </c>
      <c r="K608" t="s">
        <v>51</v>
      </c>
    </row>
    <row r="609" spans="3:11" ht="12.75">
      <c r="C609" t="s">
        <v>53</v>
      </c>
      <c r="D609" t="s">
        <v>54</v>
      </c>
      <c r="E609" s="8">
        <f>-1*0</f>
        <v>0</v>
      </c>
      <c r="F609" s="8">
        <f>-1*-16000</f>
        <v>16000</v>
      </c>
      <c r="G609" s="12">
        <f>E609-F609</f>
        <v>-16000</v>
      </c>
      <c r="H609" s="13">
        <f>IF(F609&lt;&gt;0,G609/F609*100,0)</f>
        <v>-100</v>
      </c>
      <c r="J609">
        <v>11</v>
      </c>
      <c r="K609" t="s">
        <v>53</v>
      </c>
    </row>
    <row r="610" spans="3:11" ht="12.75">
      <c r="C610" t="s">
        <v>55</v>
      </c>
      <c r="D610" t="s">
        <v>56</v>
      </c>
      <c r="E610" s="8">
        <f>1*0</f>
        <v>0</v>
      </c>
      <c r="F610" s="8">
        <f>1*10000</f>
        <v>10000</v>
      </c>
      <c r="G610" s="12">
        <f>E610-F610</f>
        <v>-10000</v>
      </c>
      <c r="H610" s="13">
        <f>IF(F610&lt;&gt;0,G610/F610*100,0)</f>
        <v>-100</v>
      </c>
      <c r="J610">
        <v>11</v>
      </c>
      <c r="K610" t="s">
        <v>55</v>
      </c>
    </row>
    <row r="611" spans="3:11" ht="12.75">
      <c r="C611" t="s">
        <v>57</v>
      </c>
      <c r="D611" t="s">
        <v>58</v>
      </c>
      <c r="E611" s="8">
        <f>1*0</f>
        <v>0</v>
      </c>
      <c r="F611" s="8">
        <f>1*67000</f>
        <v>67000</v>
      </c>
      <c r="G611" s="12">
        <f>E611-F611</f>
        <v>-67000</v>
      </c>
      <c r="H611" s="13">
        <f>IF(F611&lt;&gt;0,G611/F611*100,0)</f>
        <v>-100</v>
      </c>
      <c r="J611">
        <v>11</v>
      </c>
      <c r="K611" t="s">
        <v>57</v>
      </c>
    </row>
    <row r="612" spans="3:11" ht="12.75">
      <c r="C612" t="s">
        <v>59</v>
      </c>
      <c r="D612" t="s">
        <v>60</v>
      </c>
      <c r="E612" s="8">
        <f>1*0</f>
        <v>0</v>
      </c>
      <c r="F612" s="8">
        <f>1*15000</f>
        <v>15000</v>
      </c>
      <c r="G612" s="12">
        <f>E612-F612</f>
        <v>-15000</v>
      </c>
      <c r="H612" s="13">
        <f>IF(F612&lt;&gt;0,G612/F612*100,0)</f>
        <v>-100</v>
      </c>
      <c r="J612">
        <v>11</v>
      </c>
      <c r="K612" t="s">
        <v>59</v>
      </c>
    </row>
    <row r="613" spans="3:11" ht="12.75">
      <c r="C613" t="s">
        <v>61</v>
      </c>
      <c r="D613" t="s">
        <v>60</v>
      </c>
      <c r="E613" s="8">
        <f>1*0</f>
        <v>0</v>
      </c>
      <c r="F613" s="8">
        <f>1*8000</f>
        <v>8000</v>
      </c>
      <c r="G613" s="12">
        <f>E613-F613</f>
        <v>-8000</v>
      </c>
      <c r="H613" s="13">
        <f>IF(F613&lt;&gt;0,G613/F613*100,0)</f>
        <v>-100</v>
      </c>
      <c r="J613">
        <v>11</v>
      </c>
      <c r="K613" t="s">
        <v>62</v>
      </c>
    </row>
    <row r="614" spans="3:11" ht="12.75">
      <c r="C614" t="s">
        <v>63</v>
      </c>
      <c r="D614" t="s">
        <v>60</v>
      </c>
      <c r="E614" s="8">
        <f>1*0</f>
        <v>0</v>
      </c>
      <c r="F614" s="8">
        <f>1*12000</f>
        <v>12000</v>
      </c>
      <c r="G614" s="12">
        <f>E614-F614</f>
        <v>-12000</v>
      </c>
      <c r="H614" s="13">
        <f>IF(F614&lt;&gt;0,G614/F614*100,0)</f>
        <v>-100</v>
      </c>
      <c r="J614">
        <v>11</v>
      </c>
      <c r="K614" t="s">
        <v>64</v>
      </c>
    </row>
    <row r="615" spans="3:11" ht="12.75">
      <c r="C615" t="s">
        <v>65</v>
      </c>
      <c r="D615" t="s">
        <v>66</v>
      </c>
      <c r="E615" s="8">
        <f>1*0</f>
        <v>0</v>
      </c>
      <c r="F615" s="8">
        <f>1*60000</f>
        <v>60000</v>
      </c>
      <c r="G615" s="12">
        <f>E615-F615</f>
        <v>-60000</v>
      </c>
      <c r="H615" s="13">
        <f>IF(F615&lt;&gt;0,G615/F615*100,0)</f>
        <v>-100</v>
      </c>
      <c r="J615">
        <v>11</v>
      </c>
      <c r="K615" t="s">
        <v>65</v>
      </c>
    </row>
    <row r="616" spans="3:11" ht="12.75">
      <c r="C616" t="s">
        <v>67</v>
      </c>
      <c r="D616" t="s">
        <v>66</v>
      </c>
      <c r="E616" s="8">
        <f>1*0</f>
        <v>0</v>
      </c>
      <c r="F616" s="8">
        <f>1*26000</f>
        <v>26000</v>
      </c>
      <c r="G616" s="12">
        <f>E616-F616</f>
        <v>-26000</v>
      </c>
      <c r="H616" s="13">
        <f>IF(F616&lt;&gt;0,G616/F616*100,0)</f>
        <v>-100</v>
      </c>
      <c r="J616">
        <v>11</v>
      </c>
      <c r="K616" t="s">
        <v>68</v>
      </c>
    </row>
    <row r="617" spans="3:11" ht="12.75">
      <c r="C617" t="s">
        <v>69</v>
      </c>
      <c r="D617" t="s">
        <v>66</v>
      </c>
      <c r="E617" s="8">
        <f>1*0</f>
        <v>0</v>
      </c>
      <c r="F617" s="8">
        <f>1*14000</f>
        <v>14000</v>
      </c>
      <c r="G617" s="12">
        <f>E617-F617</f>
        <v>-14000</v>
      </c>
      <c r="H617" s="13">
        <f>IF(F617&lt;&gt;0,G617/F617*100,0)</f>
        <v>-100</v>
      </c>
      <c r="J617">
        <v>11</v>
      </c>
      <c r="K617" t="s">
        <v>70</v>
      </c>
    </row>
    <row r="618" spans="3:11" ht="12.75">
      <c r="C618" t="s">
        <v>71</v>
      </c>
      <c r="D618" t="s">
        <v>72</v>
      </c>
      <c r="E618" s="8">
        <f>1*0</f>
        <v>0</v>
      </c>
      <c r="F618" s="8">
        <f>1*13000</f>
        <v>13000</v>
      </c>
      <c r="G618" s="12">
        <f>E618-F618</f>
        <v>-13000</v>
      </c>
      <c r="H618" s="13">
        <f>IF(F618&lt;&gt;0,G618/F618*100,0)</f>
        <v>-100</v>
      </c>
      <c r="J618">
        <v>11</v>
      </c>
      <c r="K618" t="s">
        <v>71</v>
      </c>
    </row>
    <row r="619" spans="3:11" ht="12.75">
      <c r="C619" t="s">
        <v>73</v>
      </c>
      <c r="D619" t="s">
        <v>74</v>
      </c>
      <c r="E619" s="8">
        <f>1*0</f>
        <v>0</v>
      </c>
      <c r="F619" s="8">
        <f>1*3000</f>
        <v>3000</v>
      </c>
      <c r="G619" s="12">
        <f>E619-F619</f>
        <v>-3000</v>
      </c>
      <c r="H619" s="13">
        <f>IF(F619&lt;&gt;0,G619/F619*100,0)</f>
        <v>-100</v>
      </c>
      <c r="J619">
        <v>11</v>
      </c>
      <c r="K619" t="s">
        <v>73</v>
      </c>
    </row>
    <row r="620" spans="3:11" ht="12.75">
      <c r="C620" t="s">
        <v>75</v>
      </c>
      <c r="D620" t="s">
        <v>77</v>
      </c>
      <c r="E620" s="8">
        <f>1*0</f>
        <v>0</v>
      </c>
      <c r="F620" s="8">
        <f>1*12000</f>
        <v>12000</v>
      </c>
      <c r="G620" s="12">
        <f>E620-F620</f>
        <v>-12000</v>
      </c>
      <c r="H620" s="13">
        <f>IF(F620&lt;&gt;0,G620/F620*100,0)</f>
        <v>-100</v>
      </c>
      <c r="J620">
        <v>11</v>
      </c>
      <c r="K620" t="s">
        <v>76</v>
      </c>
    </row>
    <row r="621" spans="3:11" ht="12.75">
      <c r="C621" t="s">
        <v>78</v>
      </c>
      <c r="D621" t="s">
        <v>77</v>
      </c>
      <c r="E621" s="8">
        <f>1*0</f>
        <v>0</v>
      </c>
      <c r="F621" s="8">
        <f>1*10000</f>
        <v>10000</v>
      </c>
      <c r="G621" s="12">
        <f>E621-F621</f>
        <v>-10000</v>
      </c>
      <c r="H621" s="13">
        <f>IF(F621&lt;&gt;0,G621/F621*100,0)</f>
        <v>-100</v>
      </c>
      <c r="J621">
        <v>11</v>
      </c>
      <c r="K621" t="s">
        <v>79</v>
      </c>
    </row>
    <row r="622" spans="3:11" ht="12.75">
      <c r="C622" t="s">
        <v>80</v>
      </c>
      <c r="D622" t="s">
        <v>81</v>
      </c>
      <c r="E622" s="8">
        <f>1*0</f>
        <v>0</v>
      </c>
      <c r="F622" s="8">
        <f>1*16000</f>
        <v>16000</v>
      </c>
      <c r="G622" s="12">
        <f>E622-F622</f>
        <v>-16000</v>
      </c>
      <c r="H622" s="13">
        <f>IF(F622&lt;&gt;0,G622/F622*100,0)</f>
        <v>-100</v>
      </c>
      <c r="J622">
        <v>11</v>
      </c>
      <c r="K622" t="s">
        <v>80</v>
      </c>
    </row>
    <row r="623" spans="3:11" ht="12.75">
      <c r="C623" t="s">
        <v>82</v>
      </c>
      <c r="D623" t="s">
        <v>84</v>
      </c>
      <c r="E623" s="8">
        <f>1*0</f>
        <v>0</v>
      </c>
      <c r="F623" s="8">
        <f>1*13000</f>
        <v>13000</v>
      </c>
      <c r="G623" s="12">
        <f>E623-F623</f>
        <v>-13000</v>
      </c>
      <c r="H623" s="13">
        <f>IF(F623&lt;&gt;0,G623/F623*100,0)</f>
        <v>-100</v>
      </c>
      <c r="J623">
        <v>11</v>
      </c>
      <c r="K623" t="s">
        <v>83</v>
      </c>
    </row>
    <row r="624" spans="3:11" ht="12.75">
      <c r="C624" t="s">
        <v>85</v>
      </c>
      <c r="D624" t="s">
        <v>84</v>
      </c>
      <c r="E624" s="8">
        <f>1*0</f>
        <v>0</v>
      </c>
      <c r="F624" s="8">
        <f>1*13000</f>
        <v>13000</v>
      </c>
      <c r="G624" s="12">
        <f>E624-F624</f>
        <v>-13000</v>
      </c>
      <c r="H624" s="13">
        <f>IF(F624&lt;&gt;0,G624/F624*100,0)</f>
        <v>-100</v>
      </c>
      <c r="J624">
        <v>11</v>
      </c>
      <c r="K624" t="s">
        <v>86</v>
      </c>
    </row>
    <row r="625" spans="3:11" ht="12.75">
      <c r="C625" t="s">
        <v>87</v>
      </c>
      <c r="D625" t="s">
        <v>88</v>
      </c>
      <c r="E625" s="8">
        <f>1*0</f>
        <v>0</v>
      </c>
      <c r="F625" s="8">
        <f>1*10000</f>
        <v>10000</v>
      </c>
      <c r="G625" s="12">
        <f>E625-F625</f>
        <v>-10000</v>
      </c>
      <c r="H625" s="13">
        <f>IF(F625&lt;&gt;0,G625/F625*100,0)</f>
        <v>-100</v>
      </c>
      <c r="J625">
        <v>11</v>
      </c>
      <c r="K625" t="s">
        <v>87</v>
      </c>
    </row>
    <row r="626" spans="3:11" ht="12.75">
      <c r="C626" t="s">
        <v>89</v>
      </c>
      <c r="D626" t="s">
        <v>90</v>
      </c>
      <c r="E626" s="8">
        <f>1*0</f>
        <v>0</v>
      </c>
      <c r="F626" s="8">
        <f>1*29000</f>
        <v>29000</v>
      </c>
      <c r="G626" s="12">
        <f>E626-F626</f>
        <v>-29000</v>
      </c>
      <c r="H626" s="13">
        <f>IF(F626&lt;&gt;0,G626/F626*100,0)</f>
        <v>-100</v>
      </c>
      <c r="J626">
        <v>11</v>
      </c>
      <c r="K626" t="s">
        <v>89</v>
      </c>
    </row>
    <row r="627" spans="3:11" ht="12.75">
      <c r="C627" t="s">
        <v>91</v>
      </c>
      <c r="D627" t="s">
        <v>92</v>
      </c>
      <c r="E627" s="8">
        <f>1*0</f>
        <v>0</v>
      </c>
      <c r="F627" s="8">
        <f>1*3000</f>
        <v>3000</v>
      </c>
      <c r="G627" s="12">
        <f>E627-F627</f>
        <v>-3000</v>
      </c>
      <c r="H627" s="13">
        <f>IF(F627&lt;&gt;0,G627/F627*100,0)</f>
        <v>-100</v>
      </c>
      <c r="J627">
        <v>11</v>
      </c>
      <c r="K627" t="s">
        <v>91</v>
      </c>
    </row>
    <row r="628" spans="3:11" ht="12.75">
      <c r="C628" t="s">
        <v>93</v>
      </c>
      <c r="D628" t="s">
        <v>95</v>
      </c>
      <c r="E628" s="8">
        <f>1*0</f>
        <v>0</v>
      </c>
      <c r="F628" s="8">
        <f>1*12000</f>
        <v>12000</v>
      </c>
      <c r="G628" s="12">
        <f>E628-F628</f>
        <v>-12000</v>
      </c>
      <c r="H628" s="13">
        <f>IF(F628&lt;&gt;0,G628/F628*100,0)</f>
        <v>-100</v>
      </c>
      <c r="J628">
        <v>11</v>
      </c>
      <c r="K628" t="s">
        <v>94</v>
      </c>
    </row>
    <row r="629" spans="3:11" ht="12.75">
      <c r="C629" t="s">
        <v>96</v>
      </c>
      <c r="D629" t="s">
        <v>95</v>
      </c>
      <c r="E629" s="8">
        <f>1*0</f>
        <v>0</v>
      </c>
      <c r="F629" s="8">
        <f>1*17000</f>
        <v>17000</v>
      </c>
      <c r="G629" s="12">
        <f>E629-F629</f>
        <v>-17000</v>
      </c>
      <c r="H629" s="13">
        <f>IF(F629&lt;&gt;0,G629/F629*100,0)</f>
        <v>-100</v>
      </c>
      <c r="J629">
        <v>11</v>
      </c>
      <c r="K629" t="s">
        <v>97</v>
      </c>
    </row>
    <row r="630" spans="3:11" ht="12.75">
      <c r="C630" t="s">
        <v>98</v>
      </c>
      <c r="D630" t="s">
        <v>99</v>
      </c>
      <c r="E630" s="8">
        <f>1*0</f>
        <v>0</v>
      </c>
      <c r="F630" s="8">
        <f>1*7000</f>
        <v>7000</v>
      </c>
      <c r="G630" s="12">
        <f>E630-F630</f>
        <v>-7000</v>
      </c>
      <c r="H630" s="13">
        <f>IF(F630&lt;&gt;0,G630/F630*100,0)</f>
        <v>-100</v>
      </c>
      <c r="J630">
        <v>11</v>
      </c>
      <c r="K630" t="s">
        <v>98</v>
      </c>
    </row>
    <row r="631" spans="3:11" ht="12.75">
      <c r="C631" t="s">
        <v>100</v>
      </c>
      <c r="D631" t="s">
        <v>102</v>
      </c>
      <c r="E631" s="8">
        <f>1*0</f>
        <v>0</v>
      </c>
      <c r="F631" s="8">
        <f>1*18000</f>
        <v>18000</v>
      </c>
      <c r="G631" s="12">
        <f>E631-F631</f>
        <v>-18000</v>
      </c>
      <c r="H631" s="13">
        <f>IF(F631&lt;&gt;0,G631/F631*100,0)</f>
        <v>-100</v>
      </c>
      <c r="J631">
        <v>11</v>
      </c>
      <c r="K631" t="s">
        <v>101</v>
      </c>
    </row>
    <row r="632" spans="3:11" ht="12.75">
      <c r="C632" t="s">
        <v>103</v>
      </c>
      <c r="D632" t="s">
        <v>102</v>
      </c>
      <c r="E632" s="8">
        <f>1*0</f>
        <v>0</v>
      </c>
      <c r="F632" s="8">
        <f>1*17000</f>
        <v>17000</v>
      </c>
      <c r="G632" s="12">
        <f>E632-F632</f>
        <v>-17000</v>
      </c>
      <c r="H632" s="13">
        <f>IF(F632&lt;&gt;0,G632/F632*100,0)</f>
        <v>-100</v>
      </c>
      <c r="J632">
        <v>11</v>
      </c>
      <c r="K632" t="s">
        <v>104</v>
      </c>
    </row>
    <row r="633" spans="3:11" ht="12.75">
      <c r="C633" t="s">
        <v>105</v>
      </c>
      <c r="D633" t="s">
        <v>106</v>
      </c>
      <c r="E633" s="8">
        <f>1*0</f>
        <v>0</v>
      </c>
      <c r="F633" s="8">
        <f>1*8000</f>
        <v>8000</v>
      </c>
      <c r="G633" s="12">
        <f>E633-F633</f>
        <v>-8000</v>
      </c>
      <c r="H633" s="13">
        <f>IF(F633&lt;&gt;0,G633/F633*100,0)</f>
        <v>-100</v>
      </c>
      <c r="J633">
        <v>11</v>
      </c>
      <c r="K633" t="s">
        <v>105</v>
      </c>
    </row>
    <row r="634" spans="3:11" ht="12.75">
      <c r="C634" t="s">
        <v>107</v>
      </c>
      <c r="D634" t="s">
        <v>108</v>
      </c>
      <c r="E634" s="8">
        <f>1*0</f>
        <v>0</v>
      </c>
      <c r="F634" s="8">
        <f>1*33000</f>
        <v>33000</v>
      </c>
      <c r="G634" s="12">
        <f>E634-F634</f>
        <v>-33000</v>
      </c>
      <c r="H634" s="13">
        <f>IF(F634&lt;&gt;0,G634/F634*100,0)</f>
        <v>-100</v>
      </c>
      <c r="J634">
        <v>11</v>
      </c>
      <c r="K634" t="s">
        <v>107</v>
      </c>
    </row>
    <row r="635" spans="3:11" ht="12.75">
      <c r="C635" t="s">
        <v>109</v>
      </c>
      <c r="D635" t="s">
        <v>110</v>
      </c>
      <c r="E635" s="8">
        <f>1*0</f>
        <v>0</v>
      </c>
      <c r="F635" s="8">
        <f>1*44000</f>
        <v>44000</v>
      </c>
      <c r="G635" s="12">
        <f>E635-F635</f>
        <v>-44000</v>
      </c>
      <c r="H635" s="13">
        <f>IF(F635&lt;&gt;0,G635/F635*100,0)</f>
        <v>-100</v>
      </c>
      <c r="J635">
        <v>11</v>
      </c>
      <c r="K635" t="s">
        <v>109</v>
      </c>
    </row>
    <row r="636" spans="3:11" ht="12.75">
      <c r="C636" t="s">
        <v>111</v>
      </c>
      <c r="D636" t="s">
        <v>112</v>
      </c>
      <c r="E636" s="8">
        <f>1*0</f>
        <v>0</v>
      </c>
      <c r="F636" s="8">
        <f>1*10000</f>
        <v>10000</v>
      </c>
      <c r="G636" s="12">
        <f>E636-F636</f>
        <v>-10000</v>
      </c>
      <c r="H636" s="13">
        <f>IF(F636&lt;&gt;0,G636/F636*100,0)</f>
        <v>-100</v>
      </c>
      <c r="J636">
        <v>11</v>
      </c>
      <c r="K636" t="s">
        <v>111</v>
      </c>
    </row>
    <row r="637" spans="3:11" ht="12.75">
      <c r="C637" t="s">
        <v>113</v>
      </c>
      <c r="D637" t="s">
        <v>114</v>
      </c>
      <c r="E637" s="8">
        <f>1*0</f>
        <v>0</v>
      </c>
      <c r="F637" s="8">
        <f>1*38000</f>
        <v>38000</v>
      </c>
      <c r="G637" s="12">
        <f>E637-F637</f>
        <v>-38000</v>
      </c>
      <c r="H637" s="13">
        <f>IF(F637&lt;&gt;0,G637/F637*100,0)</f>
        <v>-100</v>
      </c>
      <c r="J637">
        <v>11</v>
      </c>
      <c r="K637" t="s">
        <v>113</v>
      </c>
    </row>
    <row r="638" spans="3:11" ht="12.75">
      <c r="C638" t="s">
        <v>115</v>
      </c>
      <c r="D638" t="s">
        <v>116</v>
      </c>
      <c r="E638" s="8">
        <f>1*0</f>
        <v>0</v>
      </c>
      <c r="F638" s="8">
        <f>1*25000</f>
        <v>25000</v>
      </c>
      <c r="G638" s="12">
        <f>E638-F638</f>
        <v>-25000</v>
      </c>
      <c r="H638" s="13">
        <f>IF(F638&lt;&gt;0,G638/F638*100,0)</f>
        <v>-100</v>
      </c>
      <c r="J638">
        <v>11</v>
      </c>
      <c r="K638" t="s">
        <v>115</v>
      </c>
    </row>
    <row r="639" spans="3:11" ht="12.75">
      <c r="C639" t="s">
        <v>117</v>
      </c>
      <c r="D639" t="s">
        <v>118</v>
      </c>
      <c r="E639" s="8">
        <f>1*0</f>
        <v>0</v>
      </c>
      <c r="F639" s="8">
        <f>1*12000</f>
        <v>12000</v>
      </c>
      <c r="G639" s="12">
        <f>E639-F639</f>
        <v>-12000</v>
      </c>
      <c r="H639" s="13">
        <f>IF(F639&lt;&gt;0,G639/F639*100,0)</f>
        <v>-100</v>
      </c>
      <c r="J639">
        <v>11</v>
      </c>
      <c r="K639" t="s">
        <v>117</v>
      </c>
    </row>
    <row r="640" spans="3:11" ht="12.75">
      <c r="C640" t="s">
        <v>119</v>
      </c>
      <c r="D640" t="s">
        <v>120</v>
      </c>
      <c r="E640" s="8">
        <f>1*0</f>
        <v>0</v>
      </c>
      <c r="F640" s="8">
        <f>1*18000</f>
        <v>18000</v>
      </c>
      <c r="G640" s="12">
        <f>E640-F640</f>
        <v>-18000</v>
      </c>
      <c r="H640" s="13">
        <f>IF(F640&lt;&gt;0,G640/F640*100,0)</f>
        <v>-100</v>
      </c>
      <c r="J640">
        <v>11</v>
      </c>
      <c r="K640" t="s">
        <v>119</v>
      </c>
    </row>
    <row r="641" spans="3:11" ht="12.75">
      <c r="C641" t="s">
        <v>121</v>
      </c>
      <c r="D641" t="s">
        <v>122</v>
      </c>
      <c r="E641" s="8">
        <f>1*0</f>
        <v>0</v>
      </c>
      <c r="F641" s="8">
        <f>1*15000</f>
        <v>15000</v>
      </c>
      <c r="G641" s="12">
        <f>E641-F641</f>
        <v>-15000</v>
      </c>
      <c r="H641" s="13">
        <f>IF(F641&lt;&gt;0,G641/F641*100,0)</f>
        <v>-100</v>
      </c>
      <c r="J641">
        <v>11</v>
      </c>
      <c r="K641" t="s">
        <v>121</v>
      </c>
    </row>
    <row r="642" spans="3:11" ht="12.75">
      <c r="C642" t="s">
        <v>123</v>
      </c>
      <c r="D642" t="s">
        <v>122</v>
      </c>
      <c r="E642" s="8">
        <f>1*0</f>
        <v>0</v>
      </c>
      <c r="F642" s="8">
        <f>1*37000</f>
        <v>37000</v>
      </c>
      <c r="G642" s="12">
        <f>E642-F642</f>
        <v>-37000</v>
      </c>
      <c r="H642" s="13">
        <f>IF(F642&lt;&gt;0,G642/F642*100,0)</f>
        <v>-100</v>
      </c>
      <c r="J642">
        <v>11</v>
      </c>
      <c r="K642" t="s">
        <v>124</v>
      </c>
    </row>
    <row r="643" spans="3:11" ht="12.75">
      <c r="C643" t="s">
        <v>125</v>
      </c>
      <c r="D643" t="s">
        <v>122</v>
      </c>
      <c r="E643" s="8">
        <f>1*0</f>
        <v>0</v>
      </c>
      <c r="F643" s="8">
        <f>1*15000</f>
        <v>15000</v>
      </c>
      <c r="G643" s="12">
        <f>E643-F643</f>
        <v>-15000</v>
      </c>
      <c r="H643" s="13">
        <f>IF(F643&lt;&gt;0,G643/F643*100,0)</f>
        <v>-100</v>
      </c>
      <c r="J643">
        <v>11</v>
      </c>
      <c r="K643" t="s">
        <v>126</v>
      </c>
    </row>
    <row r="644" spans="3:11" ht="12.75">
      <c r="C644" t="s">
        <v>127</v>
      </c>
      <c r="D644" t="s">
        <v>128</v>
      </c>
      <c r="E644" s="8">
        <f>1*0</f>
        <v>0</v>
      </c>
      <c r="F644" s="8">
        <f>1*5000</f>
        <v>5000</v>
      </c>
      <c r="G644" s="12">
        <f>E644-F644</f>
        <v>-5000</v>
      </c>
      <c r="H644" s="13">
        <f>IF(F644&lt;&gt;0,G644/F644*100,0)</f>
        <v>-100</v>
      </c>
      <c r="J644">
        <v>11</v>
      </c>
      <c r="K644" t="s">
        <v>127</v>
      </c>
    </row>
    <row r="645" spans="3:11" ht="12.75">
      <c r="C645" t="s">
        <v>129</v>
      </c>
      <c r="D645" t="s">
        <v>128</v>
      </c>
      <c r="E645" s="8">
        <f>1*0</f>
        <v>0</v>
      </c>
      <c r="F645" s="8">
        <f>1*12000</f>
        <v>12000</v>
      </c>
      <c r="G645" s="12">
        <f>E645-F645</f>
        <v>-12000</v>
      </c>
      <c r="H645" s="13">
        <f>IF(F645&lt;&gt;0,G645/F645*100,0)</f>
        <v>-100</v>
      </c>
      <c r="J645">
        <v>11</v>
      </c>
      <c r="K645" t="s">
        <v>130</v>
      </c>
    </row>
    <row r="646" spans="3:11" ht="12.75">
      <c r="C646" t="s">
        <v>131</v>
      </c>
      <c r="D646" t="s">
        <v>128</v>
      </c>
      <c r="E646" s="8">
        <f>1*0</f>
        <v>0</v>
      </c>
      <c r="F646" s="8">
        <f>1*12000</f>
        <v>12000</v>
      </c>
      <c r="G646" s="12">
        <f>E646-F646</f>
        <v>-12000</v>
      </c>
      <c r="H646" s="13">
        <f>IF(F646&lt;&gt;0,G646/F646*100,0)</f>
        <v>-100</v>
      </c>
      <c r="J646">
        <v>11</v>
      </c>
      <c r="K646" t="s">
        <v>132</v>
      </c>
    </row>
    <row r="647" spans="3:11" ht="12.75">
      <c r="C647" t="s">
        <v>133</v>
      </c>
      <c r="D647" t="s">
        <v>135</v>
      </c>
      <c r="E647" s="8">
        <f>1*0</f>
        <v>0</v>
      </c>
      <c r="F647" s="8">
        <f>1*54000</f>
        <v>54000</v>
      </c>
      <c r="G647" s="12">
        <f>E647-F647</f>
        <v>-54000</v>
      </c>
      <c r="H647" s="13">
        <f>IF(F647&lt;&gt;0,G647/F647*100,0)</f>
        <v>-100</v>
      </c>
      <c r="J647">
        <v>11</v>
      </c>
      <c r="K647" t="s">
        <v>134</v>
      </c>
    </row>
    <row r="648" spans="3:11" ht="12.75">
      <c r="C648" t="s">
        <v>136</v>
      </c>
      <c r="D648" t="s">
        <v>135</v>
      </c>
      <c r="E648" s="8">
        <f>1*0</f>
        <v>0</v>
      </c>
      <c r="F648" s="8">
        <f>1*125000</f>
        <v>125000</v>
      </c>
      <c r="G648" s="12">
        <f>E648-F648</f>
        <v>-125000</v>
      </c>
      <c r="H648" s="13">
        <f>IF(F648&lt;&gt;0,G648/F648*100,0)</f>
        <v>-100</v>
      </c>
      <c r="J648">
        <v>11</v>
      </c>
      <c r="K648" t="s">
        <v>137</v>
      </c>
    </row>
    <row r="649" spans="3:11" ht="12.75">
      <c r="C649" t="s">
        <v>138</v>
      </c>
      <c r="D649" t="s">
        <v>140</v>
      </c>
      <c r="E649" s="8">
        <f>1*0</f>
        <v>0</v>
      </c>
      <c r="F649" s="8">
        <f>1*14000</f>
        <v>14000</v>
      </c>
      <c r="G649" s="12">
        <f>E649-F649</f>
        <v>-14000</v>
      </c>
      <c r="H649" s="13">
        <f>IF(F649&lt;&gt;0,G649/F649*100,0)</f>
        <v>-100</v>
      </c>
      <c r="J649">
        <v>11</v>
      </c>
      <c r="K649" t="s">
        <v>139</v>
      </c>
    </row>
    <row r="650" spans="3:11" ht="12.75">
      <c r="C650" t="s">
        <v>141</v>
      </c>
      <c r="D650" t="s">
        <v>140</v>
      </c>
      <c r="E650" s="8">
        <f>1*0</f>
        <v>0</v>
      </c>
      <c r="F650" s="8">
        <f>1*16000</f>
        <v>16000</v>
      </c>
      <c r="G650" s="12">
        <f>E650-F650</f>
        <v>-16000</v>
      </c>
      <c r="H650" s="13">
        <f>IF(F650&lt;&gt;0,G650/F650*100,0)</f>
        <v>-100</v>
      </c>
      <c r="J650">
        <v>11</v>
      </c>
      <c r="K650" t="s">
        <v>142</v>
      </c>
    </row>
    <row r="651" spans="3:11" ht="12.75">
      <c r="C651" t="s">
        <v>143</v>
      </c>
      <c r="D651" t="s">
        <v>144</v>
      </c>
      <c r="E651" s="8">
        <f>1*0</f>
        <v>0</v>
      </c>
      <c r="F651" s="8">
        <f>1*16000</f>
        <v>16000</v>
      </c>
      <c r="G651" s="12">
        <f>E651-F651</f>
        <v>-16000</v>
      </c>
      <c r="H651" s="13">
        <f>IF(F651&lt;&gt;0,G651/F651*100,0)</f>
        <v>-100</v>
      </c>
      <c r="J651">
        <v>11</v>
      </c>
      <c r="K651" t="s">
        <v>143</v>
      </c>
    </row>
    <row r="652" ht="12.75">
      <c r="J652">
        <v>11.1</v>
      </c>
    </row>
    <row r="653" spans="1:11" ht="12.75">
      <c r="A653" t="s">
        <v>23</v>
      </c>
      <c r="B653" s="10">
        <v>44196</v>
      </c>
      <c r="C653" t="s">
        <v>11</v>
      </c>
      <c r="D653" t="s">
        <v>12</v>
      </c>
      <c r="E653" s="8">
        <f>-1*0</f>
        <v>0</v>
      </c>
      <c r="F653" s="8">
        <f>-1*-700000</f>
        <v>700000</v>
      </c>
      <c r="G653" s="12">
        <f>E653-F653</f>
        <v>-700000</v>
      </c>
      <c r="H653" s="13">
        <f>IF(F653&lt;&gt;0,G653/F653*100,0)</f>
        <v>-100</v>
      </c>
      <c r="J653">
        <v>12</v>
      </c>
      <c r="K653" t="s">
        <v>11</v>
      </c>
    </row>
    <row r="654" spans="3:11" ht="12.75">
      <c r="C654" t="s">
        <v>24</v>
      </c>
      <c r="D654" t="s">
        <v>12</v>
      </c>
      <c r="E654" s="8">
        <f>-1*0</f>
        <v>0</v>
      </c>
      <c r="F654" s="8">
        <f>-1*-82000</f>
        <v>82000</v>
      </c>
      <c r="G654" s="12">
        <f>E654-F654</f>
        <v>-82000</v>
      </c>
      <c r="H654" s="13">
        <f>IF(F654&lt;&gt;0,G654/F654*100,0)</f>
        <v>-100</v>
      </c>
      <c r="J654">
        <v>12</v>
      </c>
      <c r="K654" t="s">
        <v>25</v>
      </c>
    </row>
    <row r="655" spans="3:11" ht="12.75">
      <c r="C655" t="s">
        <v>26</v>
      </c>
      <c r="D655" t="s">
        <v>12</v>
      </c>
      <c r="E655" s="8">
        <f>-1*0</f>
        <v>0</v>
      </c>
      <c r="F655" s="8">
        <f>-1*-186000</f>
        <v>186000</v>
      </c>
      <c r="G655" s="12">
        <f>E655-F655</f>
        <v>-186000</v>
      </c>
      <c r="H655" s="13">
        <f>IF(F655&lt;&gt;0,G655/F655*100,0)</f>
        <v>-100</v>
      </c>
      <c r="J655">
        <v>12</v>
      </c>
      <c r="K655" t="s">
        <v>27</v>
      </c>
    </row>
    <row r="656" spans="3:11" ht="12.75">
      <c r="C656" t="s">
        <v>28</v>
      </c>
      <c r="D656" t="s">
        <v>30</v>
      </c>
      <c r="E656" s="8">
        <f>-1*0</f>
        <v>0</v>
      </c>
      <c r="F656" s="8">
        <f>-1*-5000</f>
        <v>5000</v>
      </c>
      <c r="G656" s="12">
        <f>E656-F656</f>
        <v>-5000</v>
      </c>
      <c r="H656" s="13">
        <f>IF(F656&lt;&gt;0,G656/F656*100,0)</f>
        <v>-100</v>
      </c>
      <c r="J656">
        <v>12</v>
      </c>
      <c r="K656" t="s">
        <v>29</v>
      </c>
    </row>
    <row r="657" spans="3:11" ht="12.75">
      <c r="C657" t="s">
        <v>31</v>
      </c>
      <c r="D657" t="s">
        <v>30</v>
      </c>
      <c r="E657" s="8">
        <f>-1*0</f>
        <v>0</v>
      </c>
      <c r="F657" s="8">
        <f>-1*-7000</f>
        <v>7000</v>
      </c>
      <c r="G657" s="12">
        <f>E657-F657</f>
        <v>-7000</v>
      </c>
      <c r="H657" s="13">
        <f>IF(F657&lt;&gt;0,G657/F657*100,0)</f>
        <v>-100</v>
      </c>
      <c r="J657">
        <v>12</v>
      </c>
      <c r="K657" t="s">
        <v>32</v>
      </c>
    </row>
    <row r="658" spans="3:11" ht="12.75">
      <c r="C658" t="s">
        <v>33</v>
      </c>
      <c r="D658" t="s">
        <v>30</v>
      </c>
      <c r="E658" s="8">
        <f>-1*0</f>
        <v>0</v>
      </c>
      <c r="F658" s="8">
        <f>-1*-2000</f>
        <v>2000</v>
      </c>
      <c r="G658" s="12">
        <f>E658-F658</f>
        <v>-2000</v>
      </c>
      <c r="H658" s="13">
        <f>IF(F658&lt;&gt;0,G658/F658*100,0)</f>
        <v>-100</v>
      </c>
      <c r="J658">
        <v>12</v>
      </c>
      <c r="K658" t="s">
        <v>34</v>
      </c>
    </row>
    <row r="659" spans="3:11" ht="12.75">
      <c r="C659" t="s">
        <v>35</v>
      </c>
      <c r="D659" t="s">
        <v>30</v>
      </c>
      <c r="E659" s="8">
        <f>-1*0</f>
        <v>0</v>
      </c>
      <c r="F659" s="8">
        <f>-1*-2000</f>
        <v>2000</v>
      </c>
      <c r="G659" s="12">
        <f>E659-F659</f>
        <v>-2000</v>
      </c>
      <c r="H659" s="13">
        <f>IF(F659&lt;&gt;0,G659/F659*100,0)</f>
        <v>-100</v>
      </c>
      <c r="J659">
        <v>12</v>
      </c>
      <c r="K659" t="s">
        <v>36</v>
      </c>
    </row>
    <row r="660" spans="3:11" ht="12.75">
      <c r="C660" t="s">
        <v>37</v>
      </c>
      <c r="D660" t="s">
        <v>30</v>
      </c>
      <c r="E660" s="8">
        <f>-1*0</f>
        <v>0</v>
      </c>
      <c r="F660" s="8">
        <f>-1*-6000</f>
        <v>6000</v>
      </c>
      <c r="G660" s="12">
        <f>E660-F660</f>
        <v>-6000</v>
      </c>
      <c r="H660" s="13">
        <f>IF(F660&lt;&gt;0,G660/F660*100,0)</f>
        <v>-100</v>
      </c>
      <c r="J660">
        <v>12</v>
      </c>
      <c r="K660" t="s">
        <v>38</v>
      </c>
    </row>
    <row r="661" spans="3:11" ht="12.75">
      <c r="C661" t="s">
        <v>39</v>
      </c>
      <c r="D661" t="s">
        <v>30</v>
      </c>
      <c r="E661" s="8">
        <f>-1*0</f>
        <v>0</v>
      </c>
      <c r="F661" s="8">
        <f>-1*-6000</f>
        <v>6000</v>
      </c>
      <c r="G661" s="12">
        <f>E661-F661</f>
        <v>-6000</v>
      </c>
      <c r="H661" s="13">
        <f>IF(F661&lt;&gt;0,G661/F661*100,0)</f>
        <v>-100</v>
      </c>
      <c r="J661">
        <v>12</v>
      </c>
      <c r="K661" t="s">
        <v>40</v>
      </c>
    </row>
    <row r="662" spans="3:11" ht="12.75">
      <c r="C662" t="s">
        <v>41</v>
      </c>
      <c r="D662" t="s">
        <v>30</v>
      </c>
      <c r="E662" s="8">
        <f>-1*0</f>
        <v>0</v>
      </c>
      <c r="F662" s="8">
        <f>-1*-3000</f>
        <v>3000</v>
      </c>
      <c r="G662" s="12">
        <f>E662-F662</f>
        <v>-3000</v>
      </c>
      <c r="H662" s="13">
        <f>IF(F662&lt;&gt;0,G662/F662*100,0)</f>
        <v>-100</v>
      </c>
      <c r="J662">
        <v>12</v>
      </c>
      <c r="K662" t="s">
        <v>42</v>
      </c>
    </row>
    <row r="663" spans="3:11" ht="12.75">
      <c r="C663" t="s">
        <v>43</v>
      </c>
      <c r="D663" t="s">
        <v>30</v>
      </c>
      <c r="E663" s="8">
        <f>-1*0</f>
        <v>0</v>
      </c>
      <c r="F663" s="8">
        <f>-1*-3000</f>
        <v>3000</v>
      </c>
      <c r="G663" s="12">
        <f>E663-F663</f>
        <v>-3000</v>
      </c>
      <c r="H663" s="13">
        <f>IF(F663&lt;&gt;0,G663/F663*100,0)</f>
        <v>-100</v>
      </c>
      <c r="J663">
        <v>12</v>
      </c>
      <c r="K663" t="s">
        <v>44</v>
      </c>
    </row>
    <row r="664" spans="3:11" ht="12.75">
      <c r="C664" t="s">
        <v>45</v>
      </c>
      <c r="D664" t="s">
        <v>46</v>
      </c>
      <c r="E664" s="8">
        <f>-1*0</f>
        <v>0</v>
      </c>
      <c r="F664" s="8">
        <f>-1*-16000</f>
        <v>16000</v>
      </c>
      <c r="G664" s="12">
        <f>E664-F664</f>
        <v>-16000</v>
      </c>
      <c r="H664" s="13">
        <f>IF(F664&lt;&gt;0,G664/F664*100,0)</f>
        <v>-100</v>
      </c>
      <c r="J664">
        <v>12</v>
      </c>
      <c r="K664" t="s">
        <v>45</v>
      </c>
    </row>
    <row r="665" spans="3:11" ht="12.75">
      <c r="C665" t="s">
        <v>47</v>
      </c>
      <c r="D665" t="s">
        <v>48</v>
      </c>
      <c r="E665" s="8">
        <f>-1*0</f>
        <v>0</v>
      </c>
      <c r="F665" s="8">
        <f>-1*-47000</f>
        <v>47000</v>
      </c>
      <c r="G665" s="12">
        <f>E665-F665</f>
        <v>-47000</v>
      </c>
      <c r="H665" s="13">
        <f>IF(F665&lt;&gt;0,G665/F665*100,0)</f>
        <v>-100</v>
      </c>
      <c r="J665">
        <v>12</v>
      </c>
      <c r="K665" t="s">
        <v>47</v>
      </c>
    </row>
    <row r="666" spans="3:11" ht="12.75">
      <c r="C666" t="s">
        <v>49</v>
      </c>
      <c r="D666" t="s">
        <v>50</v>
      </c>
      <c r="E666" s="8">
        <f>-1*0</f>
        <v>0</v>
      </c>
      <c r="F666" s="8">
        <f>-1*-28000</f>
        <v>28000</v>
      </c>
      <c r="G666" s="12">
        <f>E666-F666</f>
        <v>-28000</v>
      </c>
      <c r="H666" s="13">
        <f>IF(F666&lt;&gt;0,G666/F666*100,0)</f>
        <v>-100</v>
      </c>
      <c r="J666">
        <v>12</v>
      </c>
      <c r="K666" t="s">
        <v>49</v>
      </c>
    </row>
    <row r="667" spans="3:11" ht="12.75">
      <c r="C667" t="s">
        <v>51</v>
      </c>
      <c r="D667" t="s">
        <v>52</v>
      </c>
      <c r="E667" s="8">
        <f>-1*0</f>
        <v>0</v>
      </c>
      <c r="F667" s="8">
        <f>-1*-60000</f>
        <v>60000</v>
      </c>
      <c r="G667" s="12">
        <f>E667-F667</f>
        <v>-60000</v>
      </c>
      <c r="H667" s="13">
        <f>IF(F667&lt;&gt;0,G667/F667*100,0)</f>
        <v>-100</v>
      </c>
      <c r="J667">
        <v>12</v>
      </c>
      <c r="K667" t="s">
        <v>51</v>
      </c>
    </row>
    <row r="668" spans="3:11" ht="12.75">
      <c r="C668" t="s">
        <v>53</v>
      </c>
      <c r="D668" t="s">
        <v>54</v>
      </c>
      <c r="E668" s="8">
        <f>-1*0</f>
        <v>0</v>
      </c>
      <c r="F668" s="8">
        <f>-1*-16000</f>
        <v>16000</v>
      </c>
      <c r="G668" s="12">
        <f>E668-F668</f>
        <v>-16000</v>
      </c>
      <c r="H668" s="13">
        <f>IF(F668&lt;&gt;0,G668/F668*100,0)</f>
        <v>-100</v>
      </c>
      <c r="J668">
        <v>12</v>
      </c>
      <c r="K668" t="s">
        <v>53</v>
      </c>
    </row>
    <row r="669" spans="3:11" ht="12.75">
      <c r="C669" t="s">
        <v>55</v>
      </c>
      <c r="D669" t="s">
        <v>56</v>
      </c>
      <c r="E669" s="8">
        <f>1*0</f>
        <v>0</v>
      </c>
      <c r="F669" s="8">
        <f>1*10000</f>
        <v>10000</v>
      </c>
      <c r="G669" s="12">
        <f>E669-F669</f>
        <v>-10000</v>
      </c>
      <c r="H669" s="13">
        <f>IF(F669&lt;&gt;0,G669/F669*100,0)</f>
        <v>-100</v>
      </c>
      <c r="J669">
        <v>12</v>
      </c>
      <c r="K669" t="s">
        <v>55</v>
      </c>
    </row>
    <row r="670" spans="3:11" ht="12.75">
      <c r="C670" t="s">
        <v>57</v>
      </c>
      <c r="D670" t="s">
        <v>58</v>
      </c>
      <c r="E670" s="8">
        <f>1*0</f>
        <v>0</v>
      </c>
      <c r="F670" s="8">
        <f>1*67000</f>
        <v>67000</v>
      </c>
      <c r="G670" s="12">
        <f>E670-F670</f>
        <v>-67000</v>
      </c>
      <c r="H670" s="13">
        <f>IF(F670&lt;&gt;0,G670/F670*100,0)</f>
        <v>-100</v>
      </c>
      <c r="J670">
        <v>12</v>
      </c>
      <c r="K670" t="s">
        <v>57</v>
      </c>
    </row>
    <row r="671" spans="3:11" ht="12.75">
      <c r="C671" t="s">
        <v>59</v>
      </c>
      <c r="D671" t="s">
        <v>60</v>
      </c>
      <c r="E671" s="8">
        <f>1*0</f>
        <v>0</v>
      </c>
      <c r="F671" s="8">
        <f>1*15000</f>
        <v>15000</v>
      </c>
      <c r="G671" s="12">
        <f>E671-F671</f>
        <v>-15000</v>
      </c>
      <c r="H671" s="13">
        <f>IF(F671&lt;&gt;0,G671/F671*100,0)</f>
        <v>-100</v>
      </c>
      <c r="J671">
        <v>12</v>
      </c>
      <c r="K671" t="s">
        <v>59</v>
      </c>
    </row>
    <row r="672" spans="3:11" ht="12.75">
      <c r="C672" t="s">
        <v>61</v>
      </c>
      <c r="D672" t="s">
        <v>60</v>
      </c>
      <c r="E672" s="8">
        <f>1*0</f>
        <v>0</v>
      </c>
      <c r="F672" s="8">
        <f>1*8000</f>
        <v>8000</v>
      </c>
      <c r="G672" s="12">
        <f>E672-F672</f>
        <v>-8000</v>
      </c>
      <c r="H672" s="13">
        <f>IF(F672&lt;&gt;0,G672/F672*100,0)</f>
        <v>-100</v>
      </c>
      <c r="J672">
        <v>12</v>
      </c>
      <c r="K672" t="s">
        <v>62</v>
      </c>
    </row>
    <row r="673" spans="3:11" ht="12.75">
      <c r="C673" t="s">
        <v>63</v>
      </c>
      <c r="D673" t="s">
        <v>60</v>
      </c>
      <c r="E673" s="8">
        <f>1*0</f>
        <v>0</v>
      </c>
      <c r="F673" s="8">
        <f>1*12000</f>
        <v>12000</v>
      </c>
      <c r="G673" s="12">
        <f>E673-F673</f>
        <v>-12000</v>
      </c>
      <c r="H673" s="13">
        <f>IF(F673&lt;&gt;0,G673/F673*100,0)</f>
        <v>-100</v>
      </c>
      <c r="J673">
        <v>12</v>
      </c>
      <c r="K673" t="s">
        <v>64</v>
      </c>
    </row>
    <row r="674" spans="3:11" ht="12.75">
      <c r="C674" t="s">
        <v>65</v>
      </c>
      <c r="D674" t="s">
        <v>66</v>
      </c>
      <c r="E674" s="8">
        <f>1*0</f>
        <v>0</v>
      </c>
      <c r="F674" s="8">
        <f>1*60000</f>
        <v>60000</v>
      </c>
      <c r="G674" s="12">
        <f>E674-F674</f>
        <v>-60000</v>
      </c>
      <c r="H674" s="13">
        <f>IF(F674&lt;&gt;0,G674/F674*100,0)</f>
        <v>-100</v>
      </c>
      <c r="J674">
        <v>12</v>
      </c>
      <c r="K674" t="s">
        <v>65</v>
      </c>
    </row>
    <row r="675" spans="3:11" ht="12.75">
      <c r="C675" t="s">
        <v>67</v>
      </c>
      <c r="D675" t="s">
        <v>66</v>
      </c>
      <c r="E675" s="8">
        <f>1*0</f>
        <v>0</v>
      </c>
      <c r="F675" s="8">
        <f>1*26000</f>
        <v>26000</v>
      </c>
      <c r="G675" s="12">
        <f>E675-F675</f>
        <v>-26000</v>
      </c>
      <c r="H675" s="13">
        <f>IF(F675&lt;&gt;0,G675/F675*100,0)</f>
        <v>-100</v>
      </c>
      <c r="J675">
        <v>12</v>
      </c>
      <c r="K675" t="s">
        <v>68</v>
      </c>
    </row>
    <row r="676" spans="3:11" ht="12.75">
      <c r="C676" t="s">
        <v>69</v>
      </c>
      <c r="D676" t="s">
        <v>66</v>
      </c>
      <c r="E676" s="8">
        <f>1*0</f>
        <v>0</v>
      </c>
      <c r="F676" s="8">
        <f>1*14000</f>
        <v>14000</v>
      </c>
      <c r="G676" s="12">
        <f>E676-F676</f>
        <v>-14000</v>
      </c>
      <c r="H676" s="13">
        <f>IF(F676&lt;&gt;0,G676/F676*100,0)</f>
        <v>-100</v>
      </c>
      <c r="J676">
        <v>12</v>
      </c>
      <c r="K676" t="s">
        <v>70</v>
      </c>
    </row>
    <row r="677" spans="3:11" ht="12.75">
      <c r="C677" t="s">
        <v>71</v>
      </c>
      <c r="D677" t="s">
        <v>72</v>
      </c>
      <c r="E677" s="8">
        <f>1*0</f>
        <v>0</v>
      </c>
      <c r="F677" s="8">
        <f>1*13000</f>
        <v>13000</v>
      </c>
      <c r="G677" s="12">
        <f>E677-F677</f>
        <v>-13000</v>
      </c>
      <c r="H677" s="13">
        <f>IF(F677&lt;&gt;0,G677/F677*100,0)</f>
        <v>-100</v>
      </c>
      <c r="J677">
        <v>12</v>
      </c>
      <c r="K677" t="s">
        <v>71</v>
      </c>
    </row>
    <row r="678" spans="3:11" ht="12.75">
      <c r="C678" t="s">
        <v>73</v>
      </c>
      <c r="D678" t="s">
        <v>74</v>
      </c>
      <c r="E678" s="8">
        <f>1*0</f>
        <v>0</v>
      </c>
      <c r="F678" s="8">
        <f>1*3000</f>
        <v>3000</v>
      </c>
      <c r="G678" s="12">
        <f>E678-F678</f>
        <v>-3000</v>
      </c>
      <c r="H678" s="13">
        <f>IF(F678&lt;&gt;0,G678/F678*100,0)</f>
        <v>-100</v>
      </c>
      <c r="J678">
        <v>12</v>
      </c>
      <c r="K678" t="s">
        <v>73</v>
      </c>
    </row>
    <row r="679" spans="3:11" ht="12.75">
      <c r="C679" t="s">
        <v>75</v>
      </c>
      <c r="D679" t="s">
        <v>77</v>
      </c>
      <c r="E679" s="8">
        <f>1*0</f>
        <v>0</v>
      </c>
      <c r="F679" s="8">
        <f>1*12000</f>
        <v>12000</v>
      </c>
      <c r="G679" s="12">
        <f>E679-F679</f>
        <v>-12000</v>
      </c>
      <c r="H679" s="13">
        <f>IF(F679&lt;&gt;0,G679/F679*100,0)</f>
        <v>-100</v>
      </c>
      <c r="J679">
        <v>12</v>
      </c>
      <c r="K679" t="s">
        <v>76</v>
      </c>
    </row>
    <row r="680" spans="3:11" ht="12.75">
      <c r="C680" t="s">
        <v>78</v>
      </c>
      <c r="D680" t="s">
        <v>77</v>
      </c>
      <c r="E680" s="8">
        <f>1*0</f>
        <v>0</v>
      </c>
      <c r="F680" s="8">
        <f>1*10000</f>
        <v>10000</v>
      </c>
      <c r="G680" s="12">
        <f>E680-F680</f>
        <v>-10000</v>
      </c>
      <c r="H680" s="13">
        <f>IF(F680&lt;&gt;0,G680/F680*100,0)</f>
        <v>-100</v>
      </c>
      <c r="J680">
        <v>12</v>
      </c>
      <c r="K680" t="s">
        <v>79</v>
      </c>
    </row>
    <row r="681" spans="3:11" ht="12.75">
      <c r="C681" t="s">
        <v>80</v>
      </c>
      <c r="D681" t="s">
        <v>81</v>
      </c>
      <c r="E681" s="8">
        <f>1*0</f>
        <v>0</v>
      </c>
      <c r="F681" s="8">
        <f>1*16000</f>
        <v>16000</v>
      </c>
      <c r="G681" s="12">
        <f>E681-F681</f>
        <v>-16000</v>
      </c>
      <c r="H681" s="13">
        <f>IF(F681&lt;&gt;0,G681/F681*100,0)</f>
        <v>-100</v>
      </c>
      <c r="J681">
        <v>12</v>
      </c>
      <c r="K681" t="s">
        <v>80</v>
      </c>
    </row>
    <row r="682" spans="3:11" ht="12.75">
      <c r="C682" t="s">
        <v>82</v>
      </c>
      <c r="D682" t="s">
        <v>84</v>
      </c>
      <c r="E682" s="8">
        <f>1*0</f>
        <v>0</v>
      </c>
      <c r="F682" s="8">
        <f>1*13000</f>
        <v>13000</v>
      </c>
      <c r="G682" s="12">
        <f>E682-F682</f>
        <v>-13000</v>
      </c>
      <c r="H682" s="13">
        <f>IF(F682&lt;&gt;0,G682/F682*100,0)</f>
        <v>-100</v>
      </c>
      <c r="J682">
        <v>12</v>
      </c>
      <c r="K682" t="s">
        <v>83</v>
      </c>
    </row>
    <row r="683" spans="3:11" ht="12.75">
      <c r="C683" t="s">
        <v>85</v>
      </c>
      <c r="D683" t="s">
        <v>84</v>
      </c>
      <c r="E683" s="8">
        <f>1*0</f>
        <v>0</v>
      </c>
      <c r="F683" s="8">
        <f>1*13000</f>
        <v>13000</v>
      </c>
      <c r="G683" s="12">
        <f>E683-F683</f>
        <v>-13000</v>
      </c>
      <c r="H683" s="13">
        <f>IF(F683&lt;&gt;0,G683/F683*100,0)</f>
        <v>-100</v>
      </c>
      <c r="J683">
        <v>12</v>
      </c>
      <c r="K683" t="s">
        <v>86</v>
      </c>
    </row>
    <row r="684" spans="3:11" ht="12.75">
      <c r="C684" t="s">
        <v>87</v>
      </c>
      <c r="D684" t="s">
        <v>88</v>
      </c>
      <c r="E684" s="8">
        <f>1*0</f>
        <v>0</v>
      </c>
      <c r="F684" s="8">
        <f>1*10000</f>
        <v>10000</v>
      </c>
      <c r="G684" s="12">
        <f>E684-F684</f>
        <v>-10000</v>
      </c>
      <c r="H684" s="13">
        <f>IF(F684&lt;&gt;0,G684/F684*100,0)</f>
        <v>-100</v>
      </c>
      <c r="J684">
        <v>12</v>
      </c>
      <c r="K684" t="s">
        <v>87</v>
      </c>
    </row>
    <row r="685" spans="3:11" ht="12.75">
      <c r="C685" t="s">
        <v>89</v>
      </c>
      <c r="D685" t="s">
        <v>90</v>
      </c>
      <c r="E685" s="8">
        <f>1*0</f>
        <v>0</v>
      </c>
      <c r="F685" s="8">
        <f>1*29000</f>
        <v>29000</v>
      </c>
      <c r="G685" s="12">
        <f>E685-F685</f>
        <v>-29000</v>
      </c>
      <c r="H685" s="13">
        <f>IF(F685&lt;&gt;0,G685/F685*100,0)</f>
        <v>-100</v>
      </c>
      <c r="J685">
        <v>12</v>
      </c>
      <c r="K685" t="s">
        <v>89</v>
      </c>
    </row>
    <row r="686" spans="3:11" ht="12.75">
      <c r="C686" t="s">
        <v>91</v>
      </c>
      <c r="D686" t="s">
        <v>92</v>
      </c>
      <c r="E686" s="8">
        <f>1*0</f>
        <v>0</v>
      </c>
      <c r="F686" s="8">
        <f>1*3000</f>
        <v>3000</v>
      </c>
      <c r="G686" s="12">
        <f>E686-F686</f>
        <v>-3000</v>
      </c>
      <c r="H686" s="13">
        <f>IF(F686&lt;&gt;0,G686/F686*100,0)</f>
        <v>-100</v>
      </c>
      <c r="J686">
        <v>12</v>
      </c>
      <c r="K686" t="s">
        <v>91</v>
      </c>
    </row>
    <row r="687" spans="3:11" ht="12.75">
      <c r="C687" t="s">
        <v>93</v>
      </c>
      <c r="D687" t="s">
        <v>95</v>
      </c>
      <c r="E687" s="8">
        <f>1*0</f>
        <v>0</v>
      </c>
      <c r="F687" s="8">
        <f>1*12000</f>
        <v>12000</v>
      </c>
      <c r="G687" s="12">
        <f>E687-F687</f>
        <v>-12000</v>
      </c>
      <c r="H687" s="13">
        <f>IF(F687&lt;&gt;0,G687/F687*100,0)</f>
        <v>-100</v>
      </c>
      <c r="J687">
        <v>12</v>
      </c>
      <c r="K687" t="s">
        <v>94</v>
      </c>
    </row>
    <row r="688" spans="3:11" ht="12.75">
      <c r="C688" t="s">
        <v>96</v>
      </c>
      <c r="D688" t="s">
        <v>95</v>
      </c>
      <c r="E688" s="8">
        <f>1*0</f>
        <v>0</v>
      </c>
      <c r="F688" s="8">
        <f>1*17000</f>
        <v>17000</v>
      </c>
      <c r="G688" s="12">
        <f>E688-F688</f>
        <v>-17000</v>
      </c>
      <c r="H688" s="13">
        <f>IF(F688&lt;&gt;0,G688/F688*100,0)</f>
        <v>-100</v>
      </c>
      <c r="J688">
        <v>12</v>
      </c>
      <c r="K688" t="s">
        <v>97</v>
      </c>
    </row>
    <row r="689" spans="3:11" ht="12.75">
      <c r="C689" t="s">
        <v>98</v>
      </c>
      <c r="D689" t="s">
        <v>99</v>
      </c>
      <c r="E689" s="8">
        <f>1*0</f>
        <v>0</v>
      </c>
      <c r="F689" s="8">
        <f>1*7000</f>
        <v>7000</v>
      </c>
      <c r="G689" s="12">
        <f>E689-F689</f>
        <v>-7000</v>
      </c>
      <c r="H689" s="13">
        <f>IF(F689&lt;&gt;0,G689/F689*100,0)</f>
        <v>-100</v>
      </c>
      <c r="J689">
        <v>12</v>
      </c>
      <c r="K689" t="s">
        <v>98</v>
      </c>
    </row>
    <row r="690" spans="3:11" ht="12.75">
      <c r="C690" t="s">
        <v>100</v>
      </c>
      <c r="D690" t="s">
        <v>102</v>
      </c>
      <c r="E690" s="8">
        <f>1*0</f>
        <v>0</v>
      </c>
      <c r="F690" s="8">
        <f>1*18000</f>
        <v>18000</v>
      </c>
      <c r="G690" s="12">
        <f>E690-F690</f>
        <v>-18000</v>
      </c>
      <c r="H690" s="13">
        <f>IF(F690&lt;&gt;0,G690/F690*100,0)</f>
        <v>-100</v>
      </c>
      <c r="J690">
        <v>12</v>
      </c>
      <c r="K690" t="s">
        <v>101</v>
      </c>
    </row>
    <row r="691" spans="3:11" ht="12.75">
      <c r="C691" t="s">
        <v>103</v>
      </c>
      <c r="D691" t="s">
        <v>102</v>
      </c>
      <c r="E691" s="8">
        <f>1*0</f>
        <v>0</v>
      </c>
      <c r="F691" s="8">
        <f>1*17000</f>
        <v>17000</v>
      </c>
      <c r="G691" s="12">
        <f>E691-F691</f>
        <v>-17000</v>
      </c>
      <c r="H691" s="13">
        <f>IF(F691&lt;&gt;0,G691/F691*100,0)</f>
        <v>-100</v>
      </c>
      <c r="J691">
        <v>12</v>
      </c>
      <c r="K691" t="s">
        <v>104</v>
      </c>
    </row>
    <row r="692" spans="3:11" ht="12.75">
      <c r="C692" t="s">
        <v>105</v>
      </c>
      <c r="D692" t="s">
        <v>106</v>
      </c>
      <c r="E692" s="8">
        <f>1*0</f>
        <v>0</v>
      </c>
      <c r="F692" s="8">
        <f>1*8000</f>
        <v>8000</v>
      </c>
      <c r="G692" s="12">
        <f>E692-F692</f>
        <v>-8000</v>
      </c>
      <c r="H692" s="13">
        <f>IF(F692&lt;&gt;0,G692/F692*100,0)</f>
        <v>-100</v>
      </c>
      <c r="J692">
        <v>12</v>
      </c>
      <c r="K692" t="s">
        <v>105</v>
      </c>
    </row>
    <row r="693" spans="3:11" ht="12.75">
      <c r="C693" t="s">
        <v>107</v>
      </c>
      <c r="D693" t="s">
        <v>108</v>
      </c>
      <c r="E693" s="8">
        <f>1*0</f>
        <v>0</v>
      </c>
      <c r="F693" s="8">
        <f>1*33000</f>
        <v>33000</v>
      </c>
      <c r="G693" s="12">
        <f>E693-F693</f>
        <v>-33000</v>
      </c>
      <c r="H693" s="13">
        <f>IF(F693&lt;&gt;0,G693/F693*100,0)</f>
        <v>-100</v>
      </c>
      <c r="J693">
        <v>12</v>
      </c>
      <c r="K693" t="s">
        <v>107</v>
      </c>
    </row>
    <row r="694" spans="3:11" ht="12.75">
      <c r="C694" t="s">
        <v>109</v>
      </c>
      <c r="D694" t="s">
        <v>110</v>
      </c>
      <c r="E694" s="8">
        <f>1*0</f>
        <v>0</v>
      </c>
      <c r="F694" s="8">
        <f>1*44000</f>
        <v>44000</v>
      </c>
      <c r="G694" s="12">
        <f>E694-F694</f>
        <v>-44000</v>
      </c>
      <c r="H694" s="13">
        <f>IF(F694&lt;&gt;0,G694/F694*100,0)</f>
        <v>-100</v>
      </c>
      <c r="J694">
        <v>12</v>
      </c>
      <c r="K694" t="s">
        <v>109</v>
      </c>
    </row>
    <row r="695" spans="3:11" ht="12.75">
      <c r="C695" t="s">
        <v>111</v>
      </c>
      <c r="D695" t="s">
        <v>112</v>
      </c>
      <c r="E695" s="8">
        <f>1*0</f>
        <v>0</v>
      </c>
      <c r="F695" s="8">
        <f>1*10000</f>
        <v>10000</v>
      </c>
      <c r="G695" s="12">
        <f>E695-F695</f>
        <v>-10000</v>
      </c>
      <c r="H695" s="13">
        <f>IF(F695&lt;&gt;0,G695/F695*100,0)</f>
        <v>-100</v>
      </c>
      <c r="J695">
        <v>12</v>
      </c>
      <c r="K695" t="s">
        <v>111</v>
      </c>
    </row>
    <row r="696" spans="3:11" ht="12.75">
      <c r="C696" t="s">
        <v>113</v>
      </c>
      <c r="D696" t="s">
        <v>114</v>
      </c>
      <c r="E696" s="8">
        <f>1*0</f>
        <v>0</v>
      </c>
      <c r="F696" s="8">
        <f>1*38000</f>
        <v>38000</v>
      </c>
      <c r="G696" s="12">
        <f>E696-F696</f>
        <v>-38000</v>
      </c>
      <c r="H696" s="13">
        <f>IF(F696&lt;&gt;0,G696/F696*100,0)</f>
        <v>-100</v>
      </c>
      <c r="J696">
        <v>12</v>
      </c>
      <c r="K696" t="s">
        <v>113</v>
      </c>
    </row>
    <row r="697" spans="3:11" ht="12.75">
      <c r="C697" t="s">
        <v>115</v>
      </c>
      <c r="D697" t="s">
        <v>116</v>
      </c>
      <c r="E697" s="8">
        <f>1*0</f>
        <v>0</v>
      </c>
      <c r="F697" s="8">
        <f>1*25000</f>
        <v>25000</v>
      </c>
      <c r="G697" s="12">
        <f>E697-F697</f>
        <v>-25000</v>
      </c>
      <c r="H697" s="13">
        <f>IF(F697&lt;&gt;0,G697/F697*100,0)</f>
        <v>-100</v>
      </c>
      <c r="J697">
        <v>12</v>
      </c>
      <c r="K697" t="s">
        <v>115</v>
      </c>
    </row>
    <row r="698" spans="3:11" ht="12.75">
      <c r="C698" t="s">
        <v>117</v>
      </c>
      <c r="D698" t="s">
        <v>118</v>
      </c>
      <c r="E698" s="8">
        <f>1*0</f>
        <v>0</v>
      </c>
      <c r="F698" s="8">
        <f>1*12000</f>
        <v>12000</v>
      </c>
      <c r="G698" s="12">
        <f>E698-F698</f>
        <v>-12000</v>
      </c>
      <c r="H698" s="13">
        <f>IF(F698&lt;&gt;0,G698/F698*100,0)</f>
        <v>-100</v>
      </c>
      <c r="J698">
        <v>12</v>
      </c>
      <c r="K698" t="s">
        <v>117</v>
      </c>
    </row>
    <row r="699" spans="3:11" ht="12.75">
      <c r="C699" t="s">
        <v>119</v>
      </c>
      <c r="D699" t="s">
        <v>120</v>
      </c>
      <c r="E699" s="8">
        <f>1*0</f>
        <v>0</v>
      </c>
      <c r="F699" s="8">
        <f>1*18000</f>
        <v>18000</v>
      </c>
      <c r="G699" s="12">
        <f>E699-F699</f>
        <v>-18000</v>
      </c>
      <c r="H699" s="13">
        <f>IF(F699&lt;&gt;0,G699/F699*100,0)</f>
        <v>-100</v>
      </c>
      <c r="J699">
        <v>12</v>
      </c>
      <c r="K699" t="s">
        <v>119</v>
      </c>
    </row>
    <row r="700" spans="3:11" ht="12.75">
      <c r="C700" t="s">
        <v>121</v>
      </c>
      <c r="D700" t="s">
        <v>122</v>
      </c>
      <c r="E700" s="8">
        <f>1*0</f>
        <v>0</v>
      </c>
      <c r="F700" s="8">
        <f>1*15000</f>
        <v>15000</v>
      </c>
      <c r="G700" s="12">
        <f>E700-F700</f>
        <v>-15000</v>
      </c>
      <c r="H700" s="13">
        <f>IF(F700&lt;&gt;0,G700/F700*100,0)</f>
        <v>-100</v>
      </c>
      <c r="J700">
        <v>12</v>
      </c>
      <c r="K700" t="s">
        <v>121</v>
      </c>
    </row>
    <row r="701" spans="3:11" ht="12.75">
      <c r="C701" t="s">
        <v>123</v>
      </c>
      <c r="D701" t="s">
        <v>122</v>
      </c>
      <c r="E701" s="8">
        <f>1*0</f>
        <v>0</v>
      </c>
      <c r="F701" s="8">
        <f>1*37000</f>
        <v>37000</v>
      </c>
      <c r="G701" s="12">
        <f>E701-F701</f>
        <v>-37000</v>
      </c>
      <c r="H701" s="13">
        <f>IF(F701&lt;&gt;0,G701/F701*100,0)</f>
        <v>-100</v>
      </c>
      <c r="J701">
        <v>12</v>
      </c>
      <c r="K701" t="s">
        <v>124</v>
      </c>
    </row>
    <row r="702" spans="3:11" ht="12.75">
      <c r="C702" t="s">
        <v>125</v>
      </c>
      <c r="D702" t="s">
        <v>122</v>
      </c>
      <c r="E702" s="8">
        <f>1*0</f>
        <v>0</v>
      </c>
      <c r="F702" s="8">
        <f>1*15000</f>
        <v>15000</v>
      </c>
      <c r="G702" s="12">
        <f>E702-F702</f>
        <v>-15000</v>
      </c>
      <c r="H702" s="13">
        <f>IF(F702&lt;&gt;0,G702/F702*100,0)</f>
        <v>-100</v>
      </c>
      <c r="J702">
        <v>12</v>
      </c>
      <c r="K702" t="s">
        <v>126</v>
      </c>
    </row>
    <row r="703" spans="3:11" ht="12.75">
      <c r="C703" t="s">
        <v>127</v>
      </c>
      <c r="D703" t="s">
        <v>128</v>
      </c>
      <c r="E703" s="8">
        <f>1*0</f>
        <v>0</v>
      </c>
      <c r="F703" s="8">
        <f>1*5000</f>
        <v>5000</v>
      </c>
      <c r="G703" s="12">
        <f>E703-F703</f>
        <v>-5000</v>
      </c>
      <c r="H703" s="13">
        <f>IF(F703&lt;&gt;0,G703/F703*100,0)</f>
        <v>-100</v>
      </c>
      <c r="J703">
        <v>12</v>
      </c>
      <c r="K703" t="s">
        <v>127</v>
      </c>
    </row>
    <row r="704" spans="3:11" ht="12.75">
      <c r="C704" t="s">
        <v>129</v>
      </c>
      <c r="D704" t="s">
        <v>128</v>
      </c>
      <c r="E704" s="8">
        <f>1*0</f>
        <v>0</v>
      </c>
      <c r="F704" s="8">
        <f>1*12000</f>
        <v>12000</v>
      </c>
      <c r="G704" s="12">
        <f>E704-F704</f>
        <v>-12000</v>
      </c>
      <c r="H704" s="13">
        <f>IF(F704&lt;&gt;0,G704/F704*100,0)</f>
        <v>-100</v>
      </c>
      <c r="J704">
        <v>12</v>
      </c>
      <c r="K704" t="s">
        <v>130</v>
      </c>
    </row>
    <row r="705" spans="3:11" ht="12.75">
      <c r="C705" t="s">
        <v>131</v>
      </c>
      <c r="D705" t="s">
        <v>128</v>
      </c>
      <c r="E705" s="8">
        <f>1*0</f>
        <v>0</v>
      </c>
      <c r="F705" s="8">
        <f>1*12000</f>
        <v>12000</v>
      </c>
      <c r="G705" s="12">
        <f>E705-F705</f>
        <v>-12000</v>
      </c>
      <c r="H705" s="13">
        <f>IF(F705&lt;&gt;0,G705/F705*100,0)</f>
        <v>-100</v>
      </c>
      <c r="J705">
        <v>12</v>
      </c>
      <c r="K705" t="s">
        <v>132</v>
      </c>
    </row>
    <row r="706" spans="3:11" ht="12.75">
      <c r="C706" t="s">
        <v>133</v>
      </c>
      <c r="D706" t="s">
        <v>135</v>
      </c>
      <c r="E706" s="8">
        <f>1*0</f>
        <v>0</v>
      </c>
      <c r="F706" s="8">
        <f>1*54000</f>
        <v>54000</v>
      </c>
      <c r="G706" s="12">
        <f>E706-F706</f>
        <v>-54000</v>
      </c>
      <c r="H706" s="13">
        <f>IF(F706&lt;&gt;0,G706/F706*100,0)</f>
        <v>-100</v>
      </c>
      <c r="J706">
        <v>12</v>
      </c>
      <c r="K706" t="s">
        <v>134</v>
      </c>
    </row>
    <row r="707" spans="3:11" ht="12.75">
      <c r="C707" t="s">
        <v>136</v>
      </c>
      <c r="D707" t="s">
        <v>135</v>
      </c>
      <c r="E707" s="8">
        <f>1*0</f>
        <v>0</v>
      </c>
      <c r="F707" s="8">
        <f>1*125000</f>
        <v>125000</v>
      </c>
      <c r="G707" s="12">
        <f>E707-F707</f>
        <v>-125000</v>
      </c>
      <c r="H707" s="13">
        <f>IF(F707&lt;&gt;0,G707/F707*100,0)</f>
        <v>-100</v>
      </c>
      <c r="J707">
        <v>12</v>
      </c>
      <c r="K707" t="s">
        <v>137</v>
      </c>
    </row>
    <row r="708" spans="3:11" ht="12.75">
      <c r="C708" t="s">
        <v>138</v>
      </c>
      <c r="D708" t="s">
        <v>140</v>
      </c>
      <c r="E708" s="8">
        <f>1*0</f>
        <v>0</v>
      </c>
      <c r="F708" s="8">
        <f>1*14000</f>
        <v>14000</v>
      </c>
      <c r="G708" s="12">
        <f>E708-F708</f>
        <v>-14000</v>
      </c>
      <c r="H708" s="13">
        <f>IF(F708&lt;&gt;0,G708/F708*100,0)</f>
        <v>-100</v>
      </c>
      <c r="J708">
        <v>12</v>
      </c>
      <c r="K708" t="s">
        <v>139</v>
      </c>
    </row>
    <row r="709" spans="3:11" ht="12.75">
      <c r="C709" t="s">
        <v>141</v>
      </c>
      <c r="D709" t="s">
        <v>140</v>
      </c>
      <c r="E709" s="8">
        <f>1*0</f>
        <v>0</v>
      </c>
      <c r="F709" s="8">
        <f>1*16000</f>
        <v>16000</v>
      </c>
      <c r="G709" s="12">
        <f>E709-F709</f>
        <v>-16000</v>
      </c>
      <c r="H709" s="13">
        <f>IF(F709&lt;&gt;0,G709/F709*100,0)</f>
        <v>-100</v>
      </c>
      <c r="J709">
        <v>12</v>
      </c>
      <c r="K709" t="s">
        <v>142</v>
      </c>
    </row>
    <row r="710" spans="3:11" ht="12.75">
      <c r="C710" t="s">
        <v>143</v>
      </c>
      <c r="D710" t="s">
        <v>144</v>
      </c>
      <c r="E710" s="8">
        <f>1*0</f>
        <v>0</v>
      </c>
      <c r="F710" s="8">
        <f>1*16000</f>
        <v>16000</v>
      </c>
      <c r="G710" s="12">
        <f>E710-F710</f>
        <v>-16000</v>
      </c>
      <c r="H710" s="13">
        <f>IF(F710&lt;&gt;0,G710/F710*100,0)</f>
        <v>-100</v>
      </c>
      <c r="J710">
        <v>12</v>
      </c>
      <c r="K710" t="s">
        <v>143</v>
      </c>
    </row>
    <row r="711" ht="12.75">
      <c r="J711">
        <v>12.1</v>
      </c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Accpac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VBA Macro</dc:subject>
  <dc:creator/>
  <cp:keywords/>
  <dc:description/>
  <cp:lastModifiedBy>ckw</cp:lastModifiedBy>
  <dcterms:created xsi:type="dcterms:W3CDTF">1998-07-16T20:38:39Z</dcterms:created>
  <dcterms:modified xsi:type="dcterms:W3CDTF">2011-09-01T07:07:36Z</dcterms:modified>
  <cp:category/>
  <cp:version/>
  <cp:contentType/>
  <cp:contentStatus/>
</cp:coreProperties>
</file>